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xr:revisionPtr revIDLastSave="0" documentId="13_ncr:1_{51CC671C-95A8-4958-8ADD-D23C7CCD2E8B}" xr6:coauthVersionLast="46" xr6:coauthVersionMax="46" xr10:uidLastSave="{00000000-0000-0000-0000-000000000000}"/>
  <workbookProtection workbookAlgorithmName="SHA-512" workbookHashValue="jmc1JU+fGW5ym4+I1FWHx52PQAmEnzAVdOsXBqaBcuRAgX2iC2Eanp10ZsBf09sqZRwq62F7UgNSwr7CYuUTHQ==" workbookSaltValue="IDsvKzD2QW0IsnO6dzP93w==" workbookSpinCount="100000" lockStructure="1"/>
  <bookViews>
    <workbookView xWindow="2505" yWindow="420" windowWidth="21360" windowHeight="17310" tabRatio="860" xr2:uid="{00000000-000D-0000-FFFF-FFFF00000000}"/>
  </bookViews>
  <sheets>
    <sheet name="開始画面" sheetId="14" r:id="rId1"/>
    <sheet name="工事情報" sheetId="15" r:id="rId2"/>
    <sheet name="一般事項" sheetId="9" r:id="rId3"/>
    <sheet name="工事費" sheetId="16" r:id="rId4"/>
    <sheet name="工期" sheetId="4" r:id="rId5"/>
    <sheet name="施工環境" sheetId="8" r:id="rId6"/>
    <sheet name="二次製品（航空）" sheetId="30" r:id="rId7"/>
    <sheet name="準備費" sheetId="27" r:id="rId8"/>
    <sheet name="ICT" sheetId="59" r:id="rId9"/>
    <sheet name="感染対策" sheetId="60" r:id="rId10"/>
    <sheet name="確認" sheetId="12" r:id="rId11"/>
    <sheet name="元請調査票データ" sheetId="58" r:id="rId12"/>
    <sheet name="チェック" sheetId="17" r:id="rId13"/>
    <sheet name="要確認一覧表" sheetId="39" r:id="rId14"/>
    <sheet name="修正履歴" sheetId="61" state="hidden" r:id="rId15"/>
    <sheet name="KKS" sheetId="57" state="hidden" r:id="rId16"/>
    <sheet name="Table" sheetId="54" state="hidden" r:id="rId17"/>
    <sheet name="基礎データ" sheetId="56" state="hidden" r:id="rId18"/>
  </sheets>
  <externalReferences>
    <externalReference r:id="rId19"/>
    <externalReference r:id="rId20"/>
    <externalReference r:id="rId21"/>
    <externalReference r:id="rId22"/>
    <externalReference r:id="rId23"/>
    <externalReference r:id="rId24"/>
  </externalReferences>
  <definedNames>
    <definedName name="_xlnm._FilterDatabase" localSheetId="15" hidden="1">KKS!#REF!</definedName>
    <definedName name="_xlnm._FilterDatabase" localSheetId="3" hidden="1">工事費!$Q$5:$Y$7</definedName>
    <definedName name="_xlnm._FilterDatabase" localSheetId="14" hidden="1">修正履歴!$D$3:$H$5</definedName>
    <definedName name="_xlnm._FilterDatabase" localSheetId="13" hidden="1">要確認一覧表!$A$3:$I$145</definedName>
    <definedName name="A1票yesno">[1]table!$B$186:$B$187</definedName>
    <definedName name="ICT_工種">[1]table!$B$433:$B$443</definedName>
    <definedName name="ICT_使用機械">[1]table!$B$475:$B$484</definedName>
    <definedName name="ICT_施工工種">[1]table!$B$456:$B$473</definedName>
    <definedName name="ICT_出来形管理">[1]table!$B$491:$B$499</definedName>
    <definedName name="ICT_出来形管理_河川浚渫">[1]table!$B$486:$B$489</definedName>
    <definedName name="ICT_測量">[1]table!$B$445:$B$454</definedName>
    <definedName name="ICT活用工事">Table!$A$372:$A$374</definedName>
    <definedName name="ICT種別">Table!$A$529:$A$538</definedName>
    <definedName name="_xlnm.Print_Area" localSheetId="8">ICT!$A$1:$J$41</definedName>
    <definedName name="_xlnm.Print_Area" localSheetId="16">Table!$A$1:$E$677</definedName>
    <definedName name="_xlnm.Print_Area" localSheetId="12">チェック!$A$1:$T$127</definedName>
    <definedName name="_xlnm.Print_Area" localSheetId="2">一般事項!$A$1:$G$86</definedName>
    <definedName name="_xlnm.Print_Area" localSheetId="10">確認!$A$1:$L$62</definedName>
    <definedName name="_xlnm.Print_Area" localSheetId="9">感染対策!$A$1:$I$15</definedName>
    <definedName name="_xlnm.Print_Area" localSheetId="4">工期!$A$2:$T$54</definedName>
    <definedName name="_xlnm.Print_Area" localSheetId="1">工事情報!$B$2:$H$38</definedName>
    <definedName name="_xlnm.Print_Area" localSheetId="3">工事費!$A$1:$Y$169</definedName>
    <definedName name="_xlnm.Print_Area" localSheetId="5">施工環境!$A$1:$K$102</definedName>
    <definedName name="_xlnm.Print_Area" localSheetId="7">準備費!$A$1:$I$21</definedName>
    <definedName name="_xlnm.Print_Area" localSheetId="6">'二次製品（航空）'!$A$1:$U$104</definedName>
    <definedName name="_xlnm.Print_Area" localSheetId="13">要確認一覧表!$B$1:$I$147</definedName>
    <definedName name="_xlnm.Print_Titles" localSheetId="14">修正履歴!$1:$3</definedName>
    <definedName name="_xlnm.Print_Titles" localSheetId="6">'二次製品（航空）'!$5:$53</definedName>
    <definedName name="_xlnm.Print_Titles" localSheetId="13">要確認一覧表!$1:$3</definedName>
    <definedName name="Yes_No">Table!$A$403:$A$405</definedName>
    <definedName name="スライドの種類" localSheetId="15">[2]Table!$A$162:$A$167</definedName>
    <definedName name="スライドの種類">Table!$A$90:$A$95</definedName>
    <definedName name="スライドの有無" localSheetId="15">[2]Table!$A$157:$A$159</definedName>
    <definedName name="スライドの有無">Table!$A$85:$A$87</definedName>
    <definedName name="安全留意度">[1]table!$B$251:$B$254</definedName>
    <definedName name="一般管理費等の前払い金支出割合" localSheetId="15">[2]Table!$A$52:$A$57</definedName>
    <definedName name="一般管理費等の前払い金支出割合">Table!$A$51:$A$56</definedName>
    <definedName name="一般競争入札の評価方法" localSheetId="15">[2]Table!$A$60:$A$69</definedName>
    <definedName name="一般競争入札の評価方法">Table!$A$59:$A$68</definedName>
    <definedName name="運搬機械名">[1]table!$A$225:$A$245</definedName>
    <definedName name="外注先">Table!$A$553:$A$557</definedName>
    <definedName name="管理区分" localSheetId="15">[2]Table!$A$344:$A$351</definedName>
    <definedName name="管理区分">Table!$A$387:$A$394</definedName>
    <definedName name="基準書">Table!$A$148:$F$148</definedName>
    <definedName name="技術管理調査項目">Table!$A$565:$A$582</definedName>
    <definedName name="区分">Table!$A$522:$A$526</definedName>
    <definedName name="契約日から着手指定日まで30日以上あった理由" localSheetId="15">[2]Table!$A$412:$A$418</definedName>
    <definedName name="契約日から着手指定日まで30日以上あった理由">Table!$A$474:$A$480</definedName>
    <definedName name="契約方式【総価契約単価合意方式の場合】" localSheetId="15">[2]Table!$A$170:$A$173</definedName>
    <definedName name="契約方式【総価契約単価合意方式の場合】">Table!$A$98:$A$101</definedName>
    <definedName name="経費算定別">[1]table!$B$85:$B$90</definedName>
    <definedName name="月">Table!$A$617:$A$629</definedName>
    <definedName name="健康保険○×">[1]table!$B$335:$B$337</definedName>
    <definedName name="建設事業">[1]table!$B$192:$B$201</definedName>
    <definedName name="現場の原則的休日">[1]table!$B$116:$B$121</definedName>
    <definedName name="現場の原則的休日_平日">[1]table!$B$124:$B$127</definedName>
    <definedName name="工事の工期について">[1]table!$B$129:$B$132</definedName>
    <definedName name="工事種別" localSheetId="15">[2]Table!$A$5:$A$30</definedName>
    <definedName name="工事種別">Table!$A$4:$A$29</definedName>
    <definedName name="工事費_計算" localSheetId="15">[2]工事費!$J$9:$J$58,[2]工事費!$J$64:$J$83,[2]工事費!$J$87:$J$104,[2]工事費!$J$113:$J$152,[2]工事費!$K$269:$K$276+[2]工事費!$K$269:$K$276</definedName>
    <definedName name="工事費_計算">工事費!$J$9:$J$66,工事費!$I$72:$I$91,工事費!$J$95:$J$112,工事費!$J$121:$J$160,工事費!#REF!+工事費!#REF!</definedName>
    <definedName name="工事費_有無" localSheetId="15">[3]Table!$A$434:$A$435</definedName>
    <definedName name="工事費_有無">Table!$A$397:$A$399</definedName>
    <definedName name="工種" localSheetId="15">[2]Table!$A$185:$A$196</definedName>
    <definedName name="工種">Table!$A$119:$A$125</definedName>
    <definedName name="工種区分">[4]table!$B$354:$B$357</definedName>
    <definedName name="港の種類">[4]table!$B$289:$B$296</definedName>
    <definedName name="作業実行者">Table!$A$585:$A$587</definedName>
    <definedName name="作業制約時間" localSheetId="15">[2]Table!$A$421:$A$425</definedName>
    <definedName name="作業制約時間">Table!$A$483:$A$487</definedName>
    <definedName name="作業不能の要因" localSheetId="15">[2]Table!$A$361:$A$366</definedName>
    <definedName name="作業不能の要因" localSheetId="14">[1]table!$B$109:$B$114</definedName>
    <definedName name="作業不能の要因">Table!$A$408:$A$413</definedName>
    <definedName name="施工箇所">[1]table!$B$144:$B$146</definedName>
    <definedName name="施工環境" localSheetId="15">[2]Table!$A$407:$A$408</definedName>
    <definedName name="施工環境">Table!$A$460:$A$462</definedName>
    <definedName name="施工場所コード" localSheetId="15">[2]Table!$A$199:$A$203</definedName>
    <definedName name="施工場所コード">Table!$A$128:$A$134</definedName>
    <definedName name="施工地域" localSheetId="15">[2]Table!$C$211:$C$316</definedName>
    <definedName name="施工地域">Table!$C$220:$C$354</definedName>
    <definedName name="施工地域○×">[1]table!$B$340:$B$342</definedName>
    <definedName name="施工地域特性" localSheetId="15">[2]Table!$A$397:$A$402</definedName>
    <definedName name="施工地域特性">Table!$A$450:$A$454</definedName>
    <definedName name="施工地域補正_共通仮設" localSheetId="15">[5]Table!$A$161:$A$166</definedName>
    <definedName name="施工地域補正_共通仮設">Table!$A$149:$A$155</definedName>
    <definedName name="施工地域補正_現場管理" localSheetId="15">[5]Table!$A$180:$A$185</definedName>
    <definedName name="施工地域補正_現場管理">Table!$A$159:$A$165</definedName>
    <definedName name="施工分散_有無" localSheetId="15">[2]Table!$A$371:$A$373</definedName>
    <definedName name="施工分散_有無">Table!$A$424:$A$426</definedName>
    <definedName name="施工分散Yes_No">Table!$A$445:$A$447</definedName>
    <definedName name="施工分散yesno">[1]table!$B$152:$B$154</definedName>
    <definedName name="施工分散昼夜">[1]table!$B$139:$B$142</definedName>
    <definedName name="施工分散有無">[1]table!$B$135:$B$137</definedName>
    <definedName name="資機材の保管">[1]table!$B$148:$B$150</definedName>
    <definedName name="車線規制方法" localSheetId="15">[5]Table!$A$384:$A$390</definedName>
    <definedName name="車線規制方法">Table!$A$465:$A$471</definedName>
    <definedName name="週休２日交替制モデル">[1]table!$B$102:$B$104</definedName>
    <definedName name="所管名2" localSheetId="15">[2]Table!$B$77:$B$153</definedName>
    <definedName name="所管名2" localSheetId="14">[1]table!$B$2:$B$13</definedName>
    <definedName name="所管名2">Table!$B$71:$B$82</definedName>
    <definedName name="除雪工事補正の有無" localSheetId="15">[2]Table!$A$206:$A$208</definedName>
    <definedName name="除雪工事補正の有無">Table!$A$210:$A$212</definedName>
    <definedName name="除雪工事補正係数" localSheetId="15">[2]Table!$A$319:$A$326</definedName>
    <definedName name="除雪工事補正係数">Table!$A$357:$A$364</definedName>
    <definedName name="情報化施工_区分" localSheetId="15">[3]Table!$A$563:$A$564</definedName>
    <definedName name="情報化施工_区分" localSheetId="14">[6]Table!$A$556:$A$557</definedName>
    <definedName name="情報化施工_区分">Table!$A$522:$A$524</definedName>
    <definedName name="情報化施工_有無" localSheetId="15">[3]Table!$A$586:$A$587</definedName>
    <definedName name="情報化施工_有無" localSheetId="14">[6]Table!$A$579:$A$580</definedName>
    <definedName name="情報化施工_有無">Table!$A$560:$A$562</definedName>
    <definedName name="情報化施工の種別" localSheetId="14">[6]Table!$A$561:$A$569</definedName>
    <definedName name="情報化施工の種別">Table!$A$541:$A$550</definedName>
    <definedName name="情報共有システム_ＡＳＰのみ_使用の有無" localSheetId="15">[2]Table!$A$329:$A$331</definedName>
    <definedName name="情報共有システム_ＡＳＰのみ_使用の有無">Table!$A$367:$A$369</definedName>
    <definedName name="職種">[1]table!$B$180:$B$183</definedName>
    <definedName name="積雪寒冷地補正" localSheetId="15">[5]Table!$A$188:$A$193</definedName>
    <definedName name="積雪寒冷地補正">Table!$A$202:$A$207</definedName>
    <definedName name="前払い金の有無によるコード">[1]table!$B$92:$B$94</definedName>
    <definedName name="対象工種" localSheetId="15">[3]Table!$A$614:$A$617</definedName>
    <definedName name="対象工種" localSheetId="14">[6]Table!$A$607:$A$610</definedName>
    <definedName name="対象工種">Table!$A$590:$A$594</definedName>
    <definedName name="団体割引有無">[4]table!$B$348:$B$350</definedName>
    <definedName name="地域特性" localSheetId="15">[2]Table!$A$178:$A$182</definedName>
    <definedName name="地域特性">Table!$A$111:$A$115</definedName>
    <definedName name="昼夜" localSheetId="15">[2]Table!$A$376:$A$379</definedName>
    <definedName name="昼夜">Table!$A$429:$A$432</definedName>
    <definedName name="低入札工事">Table!$A$104:$A$106</definedName>
    <definedName name="低入札工事の有無" localSheetId="15">[5]Table!$A$114:$A$116</definedName>
    <definedName name="低入札工事の有無">Table!$A$104:$A$106</definedName>
    <definedName name="都道府県">[1]table!$B$15:$B$62</definedName>
    <definedName name="特殊な品質管理">[1]table!$A$301:$A$304</definedName>
    <definedName name="難易度" localSheetId="15">[2]Table!$A$33:$A$40</definedName>
    <definedName name="難易度">Table!$A$32:$A$39</definedName>
    <definedName name="二次製品" localSheetId="15">[2]Table!$A$430:$A$461</definedName>
    <definedName name="二次製品">Table!$A$492:$A$501</definedName>
    <definedName name="日">Table!$A$632:$A$663</definedName>
    <definedName name="日々運搬回送" localSheetId="15">[2]Table!$A$387:$A$389</definedName>
    <definedName name="日々運搬回送">Table!$A$440:$A$442</definedName>
    <definedName name="入札契約方式" localSheetId="15">[2]Table!$A$43:$A$49</definedName>
    <definedName name="入札契約方式">Table!$A$42:$A$48</definedName>
    <definedName name="熱中症対策に資する現場管理費の補正の試行による補正">Table!$A$215:$A$217</definedName>
    <definedName name="年" localSheetId="14">[1]table!$A$502:$A$512</definedName>
    <definedName name="年">Table!$A$601:$A$614</definedName>
    <definedName name="発注形態" localSheetId="15">[3]Table!$A$416:$A$420</definedName>
    <definedName name="発注形態">Table!$A$379:$A$384</definedName>
    <definedName name="発注年度">Table!$A$137:$A$140</definedName>
    <definedName name="不明" localSheetId="15">[2]Table!$A$463:$A$464</definedName>
    <definedName name="不明">Table!$A$504:$A$505</definedName>
    <definedName name="復興補正_熊本">Table!$A$191:$A$194</definedName>
    <definedName name="復興補正_広島">Table!$A$197:$A$199</definedName>
    <definedName name="復興補正_東日本">Table!$A$181:$A$183</definedName>
    <definedName name="複数施工箇所の形態">[4]table!$B$125:$B$127</definedName>
    <definedName name="平成29改定以前_共通仮設">Table!$E$150:$E$153</definedName>
    <definedName name="平成30改定以降_共通仮設">Table!$A$150:$A$155</definedName>
    <definedName name="舗装種別">Table!$A$143:$A$145</definedName>
    <definedName name="補修" localSheetId="15">[2]Table!$A$470:$A$472</definedName>
    <definedName name="補修">Table!$A$510:$A$512</definedName>
    <definedName name="補償方法選択" localSheetId="15">[2]Table!$A$475:$A$477</definedName>
    <definedName name="補償方法選択">Table!$A$515:$A$517</definedName>
    <definedName name="法定福利建設事業">[1]table!$B$192:$D$201</definedName>
    <definedName name="有無">Table!$A$85:$A$87</definedName>
    <definedName name="余裕期間" localSheetId="8">Table!$A$416:$A$419</definedName>
    <definedName name="余裕期間">Table!$A$416:$A$419</definedName>
    <definedName name="路上箇所" localSheetId="15">[2]Table!$A$382:$A$384</definedName>
    <definedName name="路上箇所">Table!$A$435:$A$437</definedName>
    <definedName name="労災保険算出方法">[1]table!$B$203:$B$205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16" l="1"/>
  <c r="I37" i="16" l="1"/>
  <c r="I34" i="16" l="1"/>
  <c r="P69" i="17" l="1"/>
  <c r="P74" i="17"/>
  <c r="P73" i="17"/>
  <c r="P72" i="17"/>
  <c r="P124" i="17"/>
  <c r="O114" i="17"/>
  <c r="P94" i="17"/>
  <c r="O91" i="17"/>
  <c r="O90" i="17"/>
  <c r="O86" i="17"/>
  <c r="O87" i="17"/>
  <c r="O88" i="17"/>
  <c r="Q173" i="58" l="1"/>
  <c r="Q174" i="58"/>
  <c r="Q175" i="58"/>
  <c r="Q176" i="58"/>
  <c r="Q177" i="58"/>
  <c r="Q178" i="58"/>
  <c r="Q179" i="58"/>
  <c r="Q180" i="58"/>
  <c r="Q181" i="58"/>
  <c r="Q182" i="58"/>
  <c r="Q183" i="58"/>
  <c r="Q184" i="58"/>
  <c r="Q185" i="58"/>
  <c r="Q186" i="58"/>
  <c r="Q187" i="58"/>
  <c r="Q188" i="58"/>
  <c r="Q189" i="58"/>
  <c r="Q190" i="58"/>
  <c r="Q191" i="58"/>
  <c r="Q192" i="58"/>
  <c r="Q193" i="58"/>
  <c r="Q194" i="58"/>
  <c r="Q195" i="58"/>
  <c r="Q196" i="58"/>
  <c r="Q197" i="58"/>
  <c r="Q198" i="58"/>
  <c r="Q199" i="58"/>
  <c r="Q200" i="58"/>
  <c r="Q201" i="58"/>
  <c r="Q202" i="58"/>
  <c r="Q203" i="58"/>
  <c r="Q204" i="58"/>
  <c r="Q205" i="58"/>
  <c r="Q206" i="58"/>
  <c r="Q207" i="58"/>
  <c r="Q208" i="58"/>
  <c r="Q209" i="58"/>
  <c r="Q210" i="58"/>
  <c r="Q211" i="58"/>
  <c r="Q212" i="58"/>
  <c r="Q213" i="58"/>
  <c r="Q214" i="58"/>
  <c r="Q215" i="58"/>
  <c r="Q216" i="58"/>
  <c r="Q217" i="58"/>
  <c r="Q218" i="58"/>
  <c r="Q219" i="58"/>
  <c r="Q220" i="58"/>
  <c r="Q221" i="58"/>
  <c r="Q172" i="58"/>
  <c r="E14" i="60" l="1"/>
  <c r="F21" i="60"/>
  <c r="J9" i="4"/>
  <c r="D46" i="17" l="1"/>
  <c r="D45" i="17"/>
  <c r="E29" i="60"/>
  <c r="E28" i="60"/>
  <c r="E27" i="60"/>
  <c r="E26" i="60"/>
  <c r="E25" i="60"/>
  <c r="E20" i="60"/>
  <c r="E19" i="60"/>
  <c r="E18" i="60"/>
  <c r="E17" i="60"/>
  <c r="E16" i="60"/>
  <c r="H58" i="8"/>
  <c r="H48" i="8"/>
  <c r="J27" i="15"/>
  <c r="J24" i="15"/>
  <c r="J21" i="15"/>
  <c r="F24" i="15" l="1"/>
  <c r="F27" i="15"/>
  <c r="K27" i="15"/>
  <c r="K28" i="15" s="1"/>
  <c r="F21" i="15"/>
  <c r="I21" i="15" s="1"/>
  <c r="K24" i="15"/>
  <c r="K25" i="15" s="1"/>
  <c r="F22" i="15"/>
  <c r="K21" i="15"/>
  <c r="K22" i="15" s="1"/>
  <c r="G32" i="9"/>
  <c r="F23" i="15" l="1"/>
  <c r="I23" i="15" s="1"/>
  <c r="D3" i="60"/>
  <c r="D3" i="59"/>
  <c r="G66" i="8"/>
  <c r="J27" i="4"/>
  <c r="G11" i="15" l="1"/>
  <c r="G59" i="8" l="1"/>
  <c r="F25" i="15"/>
  <c r="E11" i="60" l="1"/>
  <c r="F42" i="9" l="1"/>
  <c r="H24" i="9"/>
  <c r="Q152" i="58" l="1"/>
  <c r="Q110" i="58"/>
  <c r="Q77" i="58"/>
  <c r="F35" i="60" l="1"/>
  <c r="E34" i="60"/>
  <c r="E33" i="60"/>
  <c r="E32" i="60"/>
  <c r="E31" i="60"/>
  <c r="E30" i="60"/>
  <c r="E24" i="60"/>
  <c r="E23" i="60"/>
  <c r="E22" i="60"/>
  <c r="E15" i="60"/>
  <c r="E13" i="60"/>
  <c r="E12" i="60"/>
  <c r="E10" i="60"/>
  <c r="E9" i="60"/>
  <c r="G75" i="59"/>
  <c r="G42" i="59"/>
  <c r="B1" i="60" l="1"/>
  <c r="G53" i="12" s="1"/>
  <c r="K53" i="12" s="1"/>
  <c r="D1" i="60"/>
  <c r="I53" i="12" s="1"/>
  <c r="N58" i="8"/>
  <c r="G82" i="8"/>
  <c r="G74" i="8"/>
  <c r="G65" i="8"/>
  <c r="J41" i="4"/>
  <c r="G58" i="8" l="1"/>
  <c r="G60" i="8"/>
  <c r="G61" i="8"/>
  <c r="G62" i="8"/>
  <c r="G63" i="8"/>
  <c r="G64" i="8"/>
  <c r="I58" i="8" l="1"/>
  <c r="J42" i="4"/>
  <c r="R14" i="4"/>
  <c r="R13" i="4"/>
  <c r="R12" i="4"/>
  <c r="R11" i="4"/>
  <c r="R10" i="4"/>
  <c r="R9" i="4"/>
  <c r="J14" i="4"/>
  <c r="J13" i="4"/>
  <c r="J12" i="4"/>
  <c r="J11" i="4"/>
  <c r="J10" i="4"/>
  <c r="J8" i="4"/>
  <c r="J7" i="4"/>
  <c r="J18" i="4"/>
  <c r="J19" i="4"/>
  <c r="J20" i="4"/>
  <c r="I53" i="16" l="1"/>
  <c r="I48" i="16"/>
  <c r="I57" i="16"/>
  <c r="I36" i="16"/>
  <c r="E39" i="9"/>
  <c r="E69" i="9" l="1"/>
  <c r="E32" i="9" l="1"/>
  <c r="O120" i="9"/>
  <c r="K1868" i="9"/>
  <c r="L1868" i="9" s="1"/>
  <c r="O169" i="9" s="1"/>
  <c r="K1824" i="9"/>
  <c r="L1824" i="9" s="1"/>
  <c r="O168" i="9" s="1"/>
  <c r="K1797" i="9"/>
  <c r="L1797" i="9" s="1"/>
  <c r="O167" i="9" s="1"/>
  <c r="K1778" i="9"/>
  <c r="L1778" i="9" s="1"/>
  <c r="O166" i="9" s="1"/>
  <c r="K1732" i="9"/>
  <c r="L1732" i="9" s="1"/>
  <c r="O165" i="9" s="1"/>
  <c r="K1710" i="9"/>
  <c r="L1710" i="9" s="1"/>
  <c r="O164" i="9" s="1"/>
  <c r="K1689" i="9"/>
  <c r="L1689" i="9" s="1"/>
  <c r="O163" i="9" s="1"/>
  <c r="K1628" i="9"/>
  <c r="L1628" i="9" s="1"/>
  <c r="O162" i="9" s="1"/>
  <c r="K1593" i="9"/>
  <c r="L1593" i="9" s="1"/>
  <c r="O161" i="9" s="1"/>
  <c r="K1572" i="9"/>
  <c r="L1572" i="9" s="1"/>
  <c r="O160" i="9" s="1"/>
  <c r="K1554" i="9"/>
  <c r="L1554" i="9" s="1"/>
  <c r="O159" i="9" s="1"/>
  <c r="K1529" i="9"/>
  <c r="L1529" i="9" s="1"/>
  <c r="O158" i="9" s="1"/>
  <c r="K1509" i="9"/>
  <c r="L1509" i="9" s="1"/>
  <c r="O157" i="9" s="1"/>
  <c r="K1485" i="9"/>
  <c r="L1485" i="9" s="1"/>
  <c r="O156" i="9" s="1"/>
  <c r="K1457" i="9"/>
  <c r="L1457" i="9" s="1"/>
  <c r="O155" i="9" s="1"/>
  <c r="L1437" i="9"/>
  <c r="O154" i="9" s="1"/>
  <c r="K1437" i="9"/>
  <c r="K1417" i="9"/>
  <c r="L1417" i="9" s="1"/>
  <c r="O153" i="9" s="1"/>
  <c r="K1386" i="9"/>
  <c r="L1386" i="9" s="1"/>
  <c r="O152" i="9" s="1"/>
  <c r="K1346" i="9"/>
  <c r="L1346" i="9" s="1"/>
  <c r="O151" i="9" s="1"/>
  <c r="K1304" i="9"/>
  <c r="L1304" i="9" s="1"/>
  <c r="O150" i="9" s="1"/>
  <c r="K1260" i="9"/>
  <c r="L1260" i="9" s="1"/>
  <c r="O149" i="9" s="1"/>
  <c r="K1233" i="9"/>
  <c r="L1233" i="9" s="1"/>
  <c r="O148" i="9" s="1"/>
  <c r="K1213" i="9"/>
  <c r="L1213" i="9" s="1"/>
  <c r="O147" i="9" s="1"/>
  <c r="K1183" i="9"/>
  <c r="L1183" i="9" s="1"/>
  <c r="O146" i="9" s="1"/>
  <c r="K1128" i="9"/>
  <c r="L1128" i="9" s="1"/>
  <c r="O145" i="9" s="1"/>
  <c r="L1092" i="9"/>
  <c r="O144" i="9" s="1"/>
  <c r="K1092" i="9"/>
  <c r="K1049" i="9"/>
  <c r="L1049" i="9" s="1"/>
  <c r="O143" i="9" s="1"/>
  <c r="K971" i="9"/>
  <c r="L971" i="9" s="1"/>
  <c r="O142" i="9" s="1"/>
  <c r="K943" i="9"/>
  <c r="L943" i="9" s="1"/>
  <c r="O141" i="9" s="1"/>
  <c r="K925" i="9"/>
  <c r="L925" i="9" s="1"/>
  <c r="O140" i="9" s="1"/>
  <c r="K905" i="9"/>
  <c r="L905" i="9" s="1"/>
  <c r="O139" i="9" s="1"/>
  <c r="K889" i="9"/>
  <c r="L889" i="9" s="1"/>
  <c r="O138" i="9" s="1"/>
  <c r="K858" i="9"/>
  <c r="L858" i="9" s="1"/>
  <c r="O137" i="9" s="1"/>
  <c r="K824" i="9"/>
  <c r="L824" i="9" s="1"/>
  <c r="O136" i="9" s="1"/>
  <c r="K761" i="9"/>
  <c r="L761" i="9" s="1"/>
  <c r="O135" i="9" s="1"/>
  <c r="K706" i="9"/>
  <c r="L706" i="9" s="1"/>
  <c r="O134" i="9" s="1"/>
  <c r="K642" i="9"/>
  <c r="L642" i="9" s="1"/>
  <c r="O133" i="9" s="1"/>
  <c r="K606" i="9"/>
  <c r="L606" i="9" s="1"/>
  <c r="O132" i="9" s="1"/>
  <c r="K580" i="9"/>
  <c r="L580" i="9" s="1"/>
  <c r="O131" i="9" s="1"/>
  <c r="K535" i="9"/>
  <c r="L535" i="9" s="1"/>
  <c r="O130" i="9" s="1"/>
  <c r="K475" i="9"/>
  <c r="L475" i="9" s="1"/>
  <c r="O129" i="9" s="1"/>
  <c r="K439" i="9"/>
  <c r="L439" i="9" s="1"/>
  <c r="O128" i="9" s="1"/>
  <c r="K413" i="9"/>
  <c r="L413" i="9" s="1"/>
  <c r="K377" i="9"/>
  <c r="L377" i="9" s="1"/>
  <c r="O126" i="9" s="1"/>
  <c r="K343" i="9"/>
  <c r="L343" i="9" s="1"/>
  <c r="O125" i="9" s="1"/>
  <c r="K302" i="9"/>
  <c r="L302" i="9" s="1"/>
  <c r="O124" i="9" s="1"/>
  <c r="K122" i="9"/>
  <c r="L122" i="9" s="1"/>
  <c r="O123" i="9" s="1"/>
  <c r="O127" i="9" l="1"/>
  <c r="G15" i="8"/>
  <c r="G14" i="8"/>
  <c r="Q169" i="58" l="1"/>
  <c r="Q67" i="58"/>
  <c r="Q64" i="58"/>
  <c r="Q12" i="58"/>
  <c r="Q9" i="58"/>
  <c r="Q8" i="58"/>
  <c r="Q171" i="58"/>
  <c r="Q168" i="58"/>
  <c r="Q166" i="58"/>
  <c r="Q165" i="58"/>
  <c r="Q164" i="58"/>
  <c r="Q163" i="58"/>
  <c r="Q162" i="58"/>
  <c r="Q161" i="58"/>
  <c r="Q159" i="58"/>
  <c r="Q158" i="58"/>
  <c r="Q157" i="58"/>
  <c r="Q156" i="58"/>
  <c r="Q155" i="58"/>
  <c r="Q154" i="58"/>
  <c r="Q153" i="58"/>
  <c r="Q151" i="58"/>
  <c r="Q150" i="58"/>
  <c r="Q149" i="58"/>
  <c r="Q148" i="58"/>
  <c r="Q147" i="58"/>
  <c r="Q146" i="58"/>
  <c r="Q145" i="58"/>
  <c r="Q144" i="58"/>
  <c r="Q143" i="58"/>
  <c r="Q142" i="58"/>
  <c r="Q141" i="58"/>
  <c r="Q140" i="58"/>
  <c r="Q139" i="58"/>
  <c r="Q138" i="58"/>
  <c r="Q137" i="58"/>
  <c r="Q136" i="58"/>
  <c r="Q135" i="58"/>
  <c r="Q134" i="58"/>
  <c r="Q133" i="58"/>
  <c r="Q132" i="58"/>
  <c r="Q131" i="58"/>
  <c r="Q130" i="58"/>
  <c r="Q129" i="58"/>
  <c r="Q128" i="58"/>
  <c r="Q127" i="58"/>
  <c r="Q126" i="58"/>
  <c r="Q125" i="58"/>
  <c r="Q124" i="58"/>
  <c r="Q123" i="58"/>
  <c r="Q122" i="58"/>
  <c r="Q116" i="58"/>
  <c r="Q115" i="58"/>
  <c r="Q114" i="58"/>
  <c r="Q113" i="58"/>
  <c r="Q112" i="58"/>
  <c r="Q111" i="58"/>
  <c r="Q109" i="58"/>
  <c r="Q108" i="58"/>
  <c r="Q107" i="58"/>
  <c r="Q106" i="58"/>
  <c r="Q105" i="58"/>
  <c r="Q104" i="58"/>
  <c r="Q103" i="58"/>
  <c r="Q102" i="58"/>
  <c r="Q101" i="58"/>
  <c r="Q100" i="58"/>
  <c r="Q99" i="58"/>
  <c r="Q97" i="58"/>
  <c r="Q96" i="58"/>
  <c r="Q95" i="58"/>
  <c r="Q94" i="58"/>
  <c r="Q93" i="58"/>
  <c r="Q92" i="58"/>
  <c r="Q91" i="58"/>
  <c r="Q90" i="58"/>
  <c r="Q89" i="58"/>
  <c r="Q88" i="58"/>
  <c r="Q87" i="58"/>
  <c r="Q86" i="58"/>
  <c r="Q85" i="58"/>
  <c r="Q84" i="58"/>
  <c r="Q83" i="58"/>
  <c r="Q82" i="58"/>
  <c r="Q81" i="58"/>
  <c r="Q80" i="58"/>
  <c r="Q79" i="58"/>
  <c r="Q78" i="58"/>
  <c r="Q76" i="58"/>
  <c r="Q75" i="58"/>
  <c r="Q74" i="58"/>
  <c r="Q73" i="58"/>
  <c r="Q70" i="58"/>
  <c r="Q69" i="58"/>
  <c r="Q68" i="58"/>
  <c r="Q66" i="58"/>
  <c r="Q65" i="58"/>
  <c r="Q63" i="58"/>
  <c r="Q62" i="58"/>
  <c r="Q61" i="58"/>
  <c r="Q60" i="58"/>
  <c r="Q59" i="58"/>
  <c r="Q58" i="58"/>
  <c r="Q57" i="58"/>
  <c r="Q54" i="58"/>
  <c r="Q53" i="58"/>
  <c r="Q52" i="58"/>
  <c r="Q51" i="58"/>
  <c r="Q50" i="58"/>
  <c r="Q49" i="58"/>
  <c r="Q48" i="58"/>
  <c r="Q47" i="58"/>
  <c r="Q46" i="58"/>
  <c r="Q45" i="58"/>
  <c r="Q44" i="58"/>
  <c r="Q43" i="58"/>
  <c r="Q42" i="58"/>
  <c r="Q41" i="58"/>
  <c r="Q40" i="58"/>
  <c r="Q39" i="58"/>
  <c r="Q38" i="58"/>
  <c r="Q37" i="58"/>
  <c r="Q36" i="58"/>
  <c r="Q35" i="58"/>
  <c r="Q34" i="58"/>
  <c r="Q33" i="58"/>
  <c r="Q32" i="58"/>
  <c r="Q31" i="58"/>
  <c r="Q30" i="58"/>
  <c r="Q29" i="58"/>
  <c r="Q28" i="58"/>
  <c r="Q27" i="58"/>
  <c r="Q26" i="58"/>
  <c r="Q25" i="58"/>
  <c r="Q24" i="58"/>
  <c r="Q23" i="58"/>
  <c r="Q22" i="58"/>
  <c r="Q21" i="58"/>
  <c r="Q20" i="58"/>
  <c r="Q19" i="58"/>
  <c r="H1" i="58" s="1"/>
  <c r="G57" i="12" s="1"/>
  <c r="K57" i="12" s="1"/>
  <c r="Q18" i="58"/>
  <c r="Q17" i="58"/>
  <c r="Q16" i="58"/>
  <c r="Q15" i="58"/>
  <c r="Q14" i="58"/>
  <c r="Q13" i="58"/>
  <c r="F19" i="59" l="1"/>
  <c r="F10" i="59"/>
  <c r="J9" i="59"/>
  <c r="F12" i="59" s="1"/>
  <c r="F9" i="59" l="1"/>
  <c r="G12" i="17" l="1"/>
  <c r="C3" i="57" l="1"/>
  <c r="D52" i="17" l="1"/>
  <c r="E52" i="17"/>
  <c r="D53" i="17"/>
  <c r="E53" i="17"/>
  <c r="D54" i="17"/>
  <c r="E54" i="17"/>
  <c r="D55" i="17"/>
  <c r="E55" i="17"/>
  <c r="D56" i="17"/>
  <c r="E56" i="17"/>
  <c r="D57" i="17"/>
  <c r="E57" i="17"/>
  <c r="D58" i="17"/>
  <c r="E58" i="17"/>
  <c r="D59" i="17"/>
  <c r="E59" i="17"/>
  <c r="D60" i="17"/>
  <c r="E60" i="17"/>
  <c r="D61" i="17"/>
  <c r="E61" i="17"/>
  <c r="D62" i="17"/>
  <c r="E62" i="17"/>
  <c r="D63" i="17"/>
  <c r="E63" i="17"/>
  <c r="D64" i="17"/>
  <c r="E64" i="17"/>
  <c r="D65" i="17"/>
  <c r="E65" i="17"/>
  <c r="D66" i="17"/>
  <c r="E66" i="17"/>
  <c r="D67" i="17"/>
  <c r="E67" i="17"/>
  <c r="D68" i="17"/>
  <c r="E68" i="17"/>
  <c r="D69" i="17"/>
  <c r="E69" i="17"/>
  <c r="D70" i="17"/>
  <c r="E70" i="17"/>
  <c r="D71" i="17"/>
  <c r="E71" i="17"/>
  <c r="D72" i="17"/>
  <c r="E72" i="17"/>
  <c r="D73" i="17"/>
  <c r="E73" i="17"/>
  <c r="D74" i="17"/>
  <c r="E74" i="17"/>
  <c r="D75" i="17"/>
  <c r="E75" i="17"/>
  <c r="D76" i="17"/>
  <c r="E76" i="17"/>
  <c r="D77" i="17"/>
  <c r="E77" i="17"/>
  <c r="D78" i="17"/>
  <c r="E78" i="17"/>
  <c r="D79" i="17"/>
  <c r="E79" i="17"/>
  <c r="D80" i="17"/>
  <c r="E80" i="17"/>
  <c r="D81" i="17"/>
  <c r="E81" i="17"/>
  <c r="D82" i="17"/>
  <c r="E82" i="17"/>
  <c r="D83" i="17"/>
  <c r="E83" i="17"/>
  <c r="D84" i="17"/>
  <c r="E84" i="17"/>
  <c r="D85" i="17"/>
  <c r="E85" i="17"/>
  <c r="D86" i="17"/>
  <c r="E86" i="17"/>
  <c r="D87" i="17"/>
  <c r="E87" i="17"/>
  <c r="D88" i="17"/>
  <c r="E88" i="17"/>
  <c r="D89" i="17"/>
  <c r="E89" i="17"/>
  <c r="D90" i="17"/>
  <c r="E90" i="17"/>
  <c r="D91" i="17"/>
  <c r="E91" i="17"/>
  <c r="D92" i="17"/>
  <c r="E92" i="17"/>
  <c r="D93" i="17"/>
  <c r="E93" i="17"/>
  <c r="D94" i="17"/>
  <c r="E94" i="17"/>
  <c r="D95" i="17"/>
  <c r="E95" i="17"/>
  <c r="D96" i="17"/>
  <c r="E96" i="17"/>
  <c r="D97" i="17"/>
  <c r="E97" i="17"/>
  <c r="D98" i="17"/>
  <c r="E98" i="17"/>
  <c r="D99" i="17"/>
  <c r="E99" i="17"/>
  <c r="D100" i="17"/>
  <c r="E100" i="17"/>
  <c r="D101" i="17"/>
  <c r="E101" i="17"/>
  <c r="D102" i="17"/>
  <c r="E102" i="17"/>
  <c r="D103" i="17"/>
  <c r="E103" i="17"/>
  <c r="D104" i="17"/>
  <c r="E104" i="17"/>
  <c r="D105" i="17"/>
  <c r="E105" i="17"/>
  <c r="D106" i="17"/>
  <c r="E106" i="17"/>
  <c r="D107" i="17"/>
  <c r="E107" i="17"/>
  <c r="D108" i="17"/>
  <c r="E108" i="17"/>
  <c r="D109" i="17"/>
  <c r="E109" i="17"/>
  <c r="D110" i="17"/>
  <c r="E110"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52" i="17"/>
  <c r="B53" i="17"/>
  <c r="B54" i="17"/>
  <c r="B55" i="17"/>
  <c r="B56" i="17"/>
  <c r="E51" i="17"/>
  <c r="D51" i="17"/>
  <c r="B51" i="17"/>
  <c r="F31" i="17"/>
  <c r="F42" i="17"/>
  <c r="F41" i="17"/>
  <c r="F40" i="17"/>
  <c r="F38" i="17"/>
  <c r="F37" i="17"/>
  <c r="F36" i="17"/>
  <c r="F43" i="17"/>
  <c r="P78" i="17"/>
  <c r="P77" i="17"/>
  <c r="P126" i="17"/>
  <c r="P123" i="17"/>
  <c r="P122" i="17"/>
  <c r="O120" i="17"/>
  <c r="O121" i="17"/>
  <c r="O119" i="17"/>
  <c r="O118" i="17"/>
  <c r="P116" i="17"/>
  <c r="P115" i="17"/>
  <c r="P113" i="17"/>
  <c r="P108" i="17" s="1"/>
  <c r="O110" i="17"/>
  <c r="O111" i="17"/>
  <c r="O112" i="17"/>
  <c r="O109" i="17"/>
  <c r="O108" i="17" s="1"/>
  <c r="P107" i="17"/>
  <c r="O102" i="17"/>
  <c r="P104" i="17"/>
  <c r="P105" i="17"/>
  <c r="P106" i="17"/>
  <c r="P103" i="17"/>
  <c r="P100" i="17"/>
  <c r="P99" i="17"/>
  <c r="P97" i="17"/>
  <c r="P92" i="17"/>
  <c r="P93" i="17"/>
  <c r="O85" i="17"/>
  <c r="P84" i="17"/>
  <c r="O83" i="17"/>
  <c r="O82" i="17"/>
  <c r="O81" i="17"/>
  <c r="O76" i="17"/>
  <c r="P71" i="17"/>
  <c r="P70" i="17"/>
  <c r="O66" i="17"/>
  <c r="O67" i="17"/>
  <c r="O68" i="17"/>
  <c r="O65" i="17"/>
  <c r="O63" i="17"/>
  <c r="P62" i="17"/>
  <c r="O61" i="17"/>
  <c r="P60" i="17"/>
  <c r="O58" i="17"/>
  <c r="O59" i="17"/>
  <c r="O57" i="17"/>
  <c r="P56" i="17"/>
  <c r="O53" i="17"/>
  <c r="O54" i="17"/>
  <c r="O55" i="17"/>
  <c r="O52" i="17"/>
  <c r="P51" i="17"/>
  <c r="O50" i="17"/>
  <c r="F30" i="17"/>
  <c r="F27" i="17"/>
  <c r="F26" i="17"/>
  <c r="F24" i="17"/>
  <c r="F23" i="17"/>
  <c r="F22" i="17"/>
  <c r="F21" i="17"/>
  <c r="F12" i="17"/>
  <c r="F11" i="17"/>
  <c r="G31" i="17" l="1"/>
  <c r="G30" i="17"/>
  <c r="I35" i="16"/>
  <c r="D3" i="27"/>
  <c r="J19" i="59" l="1"/>
  <c r="G89" i="59"/>
  <c r="G83" i="59"/>
  <c r="H9" i="59" l="1"/>
  <c r="D1" i="59"/>
  <c r="I51" i="12" s="1"/>
  <c r="B1" i="59"/>
  <c r="G51" i="12" s="1"/>
  <c r="K51" i="12" s="1"/>
  <c r="F45" i="9" l="1"/>
  <c r="AG6" i="17" l="1"/>
  <c r="Z6" i="17"/>
  <c r="G51" i="8"/>
  <c r="K51" i="8" s="1"/>
  <c r="N48" i="8"/>
  <c r="E48" i="9"/>
  <c r="E38" i="9"/>
  <c r="G5" i="9"/>
  <c r="E5" i="9"/>
  <c r="G48" i="8" l="1"/>
  <c r="I48" i="8" s="1"/>
  <c r="G49" i="8"/>
  <c r="G50" i="8"/>
  <c r="O69" i="17" l="1"/>
  <c r="O117" i="17" l="1"/>
  <c r="P117" i="17" l="1"/>
  <c r="F35" i="17" s="1"/>
  <c r="F110" i="17" l="1"/>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F51" i="17"/>
  <c r="C24" i="57" l="1"/>
  <c r="D24" i="57" s="1"/>
  <c r="AG4" i="17" l="1"/>
  <c r="AG5" i="17"/>
  <c r="AG7" i="17"/>
  <c r="AG8" i="17"/>
  <c r="AG9" i="17"/>
  <c r="AG10" i="17"/>
  <c r="AG11" i="17"/>
  <c r="AG12" i="17"/>
  <c r="AG13" i="17"/>
  <c r="AG14" i="17"/>
  <c r="AG15" i="17"/>
  <c r="AG16" i="17"/>
  <c r="AG17" i="17"/>
  <c r="AG18" i="17"/>
  <c r="AG19" i="17"/>
  <c r="AG20" i="17"/>
  <c r="AG21" i="17"/>
  <c r="AG22" i="17"/>
  <c r="AG23" i="17"/>
  <c r="AG24" i="17"/>
  <c r="AG25" i="17"/>
  <c r="AG26" i="17"/>
  <c r="AG27" i="17"/>
  <c r="AG28" i="17"/>
  <c r="AG29" i="17"/>
  <c r="AG30" i="17"/>
  <c r="AG31" i="17"/>
  <c r="AG32" i="17"/>
  <c r="AG33" i="17"/>
  <c r="AG34" i="17"/>
  <c r="AG35" i="17"/>
  <c r="AG36" i="17"/>
  <c r="AG37" i="17"/>
  <c r="AG38" i="17"/>
  <c r="AG39" i="17"/>
  <c r="AG40" i="17"/>
  <c r="AG41" i="17"/>
  <c r="AG42" i="17"/>
  <c r="AG43" i="17"/>
  <c r="AG44" i="17"/>
  <c r="AG45" i="17"/>
  <c r="AG46" i="17"/>
  <c r="AG47" i="17"/>
  <c r="AG48" i="17"/>
  <c r="AG49" i="17"/>
  <c r="AG50" i="17"/>
  <c r="AG51" i="17"/>
  <c r="AG52" i="17"/>
  <c r="AG53" i="17"/>
  <c r="AG54" i="17"/>
  <c r="AG55" i="17"/>
  <c r="AG56" i="17"/>
  <c r="AG57" i="17"/>
  <c r="AG58" i="17"/>
  <c r="AG59" i="17"/>
  <c r="AG60" i="17"/>
  <c r="AG61" i="17"/>
  <c r="AG62" i="17"/>
  <c r="AG63" i="17"/>
  <c r="AG64" i="17"/>
  <c r="AG65" i="17"/>
  <c r="AG66" i="17"/>
  <c r="AG67" i="17"/>
  <c r="AG68" i="17"/>
  <c r="AG69" i="17"/>
  <c r="AG70" i="17"/>
  <c r="AG71" i="17"/>
  <c r="AG72" i="17"/>
  <c r="AG73" i="17"/>
  <c r="AG74" i="17"/>
  <c r="AG75" i="17"/>
  <c r="AG76" i="17"/>
  <c r="AG77" i="17"/>
  <c r="AG78" i="17"/>
  <c r="AG79" i="17"/>
  <c r="AG80" i="17"/>
  <c r="AG81" i="17"/>
  <c r="AG82" i="17"/>
  <c r="AG83" i="17"/>
  <c r="AG84" i="17"/>
  <c r="AG85" i="17"/>
  <c r="AG86" i="17"/>
  <c r="AG87" i="17"/>
  <c r="I14" i="16" l="1"/>
  <c r="I13" i="16"/>
  <c r="P49" i="17" l="1"/>
  <c r="O49" i="17"/>
  <c r="P64" i="17"/>
  <c r="O64" i="17"/>
  <c r="P75" i="17"/>
  <c r="O75" i="17"/>
  <c r="P80" i="17"/>
  <c r="P79" i="17" s="1"/>
  <c r="O80" i="17"/>
  <c r="O79" i="17" s="1"/>
  <c r="P98" i="17"/>
  <c r="O98" i="17"/>
  <c r="P48" i="17" l="1"/>
  <c r="J26" i="4"/>
  <c r="J23" i="4"/>
  <c r="R23" i="4" s="1"/>
  <c r="R27" i="4"/>
  <c r="J25" i="4"/>
  <c r="R25" i="4" s="1"/>
  <c r="J24" i="4"/>
  <c r="R24" i="4" s="1"/>
  <c r="C23" i="57" l="1"/>
  <c r="C14" i="57" l="1"/>
  <c r="C13" i="57"/>
  <c r="C12" i="57"/>
  <c r="C11" i="57"/>
  <c r="C10" i="57"/>
  <c r="C9" i="57"/>
  <c r="D23" i="57"/>
  <c r="E23" i="57" s="1"/>
  <c r="E57" i="9"/>
  <c r="F44" i="9" l="1"/>
  <c r="F43" i="9"/>
  <c r="E37" i="9"/>
  <c r="E36" i="9"/>
  <c r="E24" i="9"/>
  <c r="E66" i="9" l="1"/>
  <c r="E65" i="9"/>
  <c r="E64" i="9"/>
  <c r="E63" i="9"/>
  <c r="E62" i="9"/>
  <c r="F29" i="15" l="1"/>
  <c r="I29" i="15" s="1"/>
  <c r="E19" i="27" l="1"/>
  <c r="E18" i="27"/>
  <c r="E17" i="27"/>
  <c r="E16" i="27"/>
  <c r="E10" i="27"/>
  <c r="G29" i="8"/>
  <c r="G28" i="9" l="1"/>
  <c r="E54" i="9" l="1"/>
  <c r="G37" i="8" l="1"/>
  <c r="G36" i="8"/>
  <c r="G35" i="8"/>
  <c r="G34" i="8"/>
  <c r="G33" i="8"/>
  <c r="G32" i="8"/>
  <c r="G31" i="8"/>
  <c r="G30" i="8"/>
  <c r="E28" i="9"/>
  <c r="F28" i="15"/>
  <c r="H42" i="9" l="1"/>
  <c r="I43" i="16" l="1"/>
  <c r="C19" i="57" l="1"/>
  <c r="B31" i="57"/>
  <c r="C18" i="57"/>
  <c r="D25" i="57" s="1"/>
  <c r="C17" i="57"/>
  <c r="B14" i="57"/>
  <c r="B13" i="57"/>
  <c r="B12" i="57"/>
  <c r="B11" i="57"/>
  <c r="D44" i="57" l="1"/>
  <c r="C27" i="57"/>
  <c r="D27" i="57" s="1"/>
  <c r="C31" i="57"/>
  <c r="D26" i="57"/>
  <c r="G31" i="57"/>
  <c r="D31" i="57"/>
  <c r="H31" i="57"/>
  <c r="B29" i="57"/>
  <c r="F31" i="57" l="1"/>
  <c r="E31" i="57"/>
  <c r="B10" i="57"/>
  <c r="B9" i="57"/>
  <c r="C34" i="57" l="1"/>
  <c r="C22" i="12"/>
  <c r="C35" i="57" l="1"/>
  <c r="D49" i="57"/>
  <c r="D45" i="57"/>
  <c r="D47" i="57"/>
  <c r="D48" i="57"/>
  <c r="D39" i="57"/>
  <c r="C21" i="12" s="1"/>
  <c r="D42" i="57"/>
  <c r="D41" i="57"/>
  <c r="D40" i="57"/>
  <c r="D46" i="57"/>
  <c r="D43" i="57"/>
  <c r="C36" i="57"/>
  <c r="C6" i="57" s="1"/>
  <c r="H14" i="12" s="1"/>
  <c r="G11" i="8"/>
  <c r="W5" i="56" l="1"/>
  <c r="V5" i="56"/>
  <c r="U5" i="56"/>
  <c r="Q5" i="56"/>
  <c r="P5" i="56"/>
  <c r="O5" i="56"/>
  <c r="N5" i="56"/>
  <c r="M5" i="56"/>
  <c r="L5" i="56"/>
  <c r="K5" i="56"/>
  <c r="J5" i="56"/>
  <c r="I5" i="56"/>
  <c r="H5" i="56"/>
  <c r="G5" i="56"/>
  <c r="F5" i="56"/>
  <c r="E5" i="56"/>
  <c r="A5" i="56" s="1"/>
  <c r="D5" i="56"/>
  <c r="C5" i="56"/>
  <c r="E51" i="9" l="1"/>
  <c r="E47" i="9" l="1"/>
  <c r="E46" i="9"/>
  <c r="G21" i="8" l="1"/>
  <c r="I21" i="8" s="1"/>
  <c r="G20" i="8"/>
  <c r="I20" i="8" s="1"/>
  <c r="G19" i="8"/>
  <c r="I19" i="8" s="1"/>
  <c r="G18" i="8"/>
  <c r="I18" i="8" s="1"/>
  <c r="G17" i="8"/>
  <c r="I17" i="8" s="1"/>
  <c r="G16" i="8"/>
  <c r="I16" i="8" s="1"/>
  <c r="J21" i="4"/>
  <c r="G41" i="17" l="1"/>
  <c r="G24" i="8" l="1"/>
  <c r="H26" i="12" l="1"/>
  <c r="H25" i="12"/>
  <c r="H24" i="12"/>
  <c r="H30" i="12"/>
  <c r="H29" i="12"/>
  <c r="F14" i="12"/>
  <c r="F13" i="12"/>
  <c r="H28" i="12" l="1"/>
  <c r="K28" i="12" s="1"/>
  <c r="H27" i="12"/>
  <c r="K27" i="12" s="1"/>
  <c r="D35" i="17" l="1"/>
  <c r="D40" i="17"/>
  <c r="S48" i="4"/>
  <c r="R48" i="4"/>
  <c r="J92" i="16"/>
  <c r="P174" i="16"/>
  <c r="O9" i="16"/>
  <c r="I9" i="16" s="1"/>
  <c r="G19" i="15"/>
  <c r="K9" i="16" l="1"/>
  <c r="K29" i="4"/>
  <c r="J66" i="16"/>
  <c r="B16" i="12"/>
  <c r="D39" i="17"/>
  <c r="H13" i="12" l="1"/>
  <c r="J13" i="12" s="1"/>
  <c r="I66" i="16"/>
  <c r="K14" i="12"/>
  <c r="V54" i="30"/>
  <c r="K13" i="12" l="1"/>
  <c r="K25" i="12"/>
  <c r="K29" i="12"/>
  <c r="K30" i="12"/>
  <c r="J14" i="12"/>
  <c r="I55" i="12" s="1"/>
  <c r="K55" i="12" s="1"/>
  <c r="K26" i="12"/>
  <c r="K24" i="12"/>
  <c r="I91" i="16"/>
  <c r="I90" i="16"/>
  <c r="I89" i="16"/>
  <c r="I88" i="16"/>
  <c r="I87" i="16"/>
  <c r="I86" i="16"/>
  <c r="I85" i="16"/>
  <c r="I84" i="16"/>
  <c r="I83" i="16"/>
  <c r="I82" i="16"/>
  <c r="F30" i="15" l="1"/>
  <c r="N55" i="8" l="1"/>
  <c r="W40" i="17" l="1"/>
  <c r="G11" i="17"/>
  <c r="E3" i="12"/>
  <c r="E21" i="27"/>
  <c r="S103" i="30"/>
  <c r="S102" i="30"/>
  <c r="S101" i="30"/>
  <c r="S100" i="30"/>
  <c r="S99" i="30"/>
  <c r="S98" i="30"/>
  <c r="S97" i="30"/>
  <c r="S96" i="30"/>
  <c r="S95" i="30"/>
  <c r="S94" i="30"/>
  <c r="S93" i="30"/>
  <c r="S92" i="30"/>
  <c r="S91" i="30"/>
  <c r="S90" i="30"/>
  <c r="S89" i="30"/>
  <c r="S88" i="30"/>
  <c r="S87" i="30"/>
  <c r="S86" i="30"/>
  <c r="S85" i="30"/>
  <c r="S84" i="30"/>
  <c r="S83" i="30"/>
  <c r="S82" i="30"/>
  <c r="S81" i="30"/>
  <c r="S80" i="30"/>
  <c r="S79" i="30"/>
  <c r="S78" i="30"/>
  <c r="S77" i="30"/>
  <c r="S76" i="30"/>
  <c r="S75" i="30"/>
  <c r="S74" i="30"/>
  <c r="S73" i="30"/>
  <c r="S72" i="30"/>
  <c r="S71" i="30"/>
  <c r="S70" i="30"/>
  <c r="S69" i="30"/>
  <c r="S68" i="30"/>
  <c r="S67" i="30"/>
  <c r="S66" i="30"/>
  <c r="S65" i="30"/>
  <c r="S64" i="30"/>
  <c r="S63" i="30"/>
  <c r="S62" i="30"/>
  <c r="S61" i="30"/>
  <c r="S60" i="30"/>
  <c r="S59" i="30"/>
  <c r="S58" i="30"/>
  <c r="T103" i="30"/>
  <c r="T102" i="30"/>
  <c r="T101" i="30"/>
  <c r="T100" i="30"/>
  <c r="T99" i="30"/>
  <c r="T98" i="30"/>
  <c r="T97" i="30"/>
  <c r="T96" i="30"/>
  <c r="T95" i="30"/>
  <c r="T94" i="30"/>
  <c r="T93" i="30"/>
  <c r="T92" i="30"/>
  <c r="T91" i="30"/>
  <c r="T90" i="30"/>
  <c r="T89" i="30"/>
  <c r="T88" i="30"/>
  <c r="T87" i="30"/>
  <c r="T86" i="30"/>
  <c r="T85" i="30"/>
  <c r="T84" i="30"/>
  <c r="T83" i="30"/>
  <c r="T82" i="30"/>
  <c r="T81" i="30"/>
  <c r="T80" i="30"/>
  <c r="T79" i="30"/>
  <c r="T78" i="30"/>
  <c r="T77" i="30"/>
  <c r="T76" i="30"/>
  <c r="T75" i="30"/>
  <c r="T74" i="30"/>
  <c r="T73" i="30"/>
  <c r="T72" i="30"/>
  <c r="T71" i="30"/>
  <c r="T70" i="30"/>
  <c r="T69" i="30"/>
  <c r="T68" i="30"/>
  <c r="T67" i="30"/>
  <c r="T66" i="30"/>
  <c r="T65" i="30"/>
  <c r="T64" i="30"/>
  <c r="T63" i="30"/>
  <c r="T62" i="30"/>
  <c r="T61" i="30"/>
  <c r="T60" i="30"/>
  <c r="T59" i="30"/>
  <c r="T58" i="30"/>
  <c r="T57" i="30"/>
  <c r="T56" i="30"/>
  <c r="T55" i="30"/>
  <c r="T54" i="30"/>
  <c r="S57" i="30"/>
  <c r="S56" i="30"/>
  <c r="S55" i="30"/>
  <c r="S54" i="30"/>
  <c r="K102" i="30"/>
  <c r="K101"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V55" i="30"/>
  <c r="K55" i="30" s="1"/>
  <c r="V103" i="30"/>
  <c r="K103" i="30" s="1"/>
  <c r="U103" i="30"/>
  <c r="W103" i="30" s="1"/>
  <c r="V102" i="30"/>
  <c r="U102" i="30"/>
  <c r="W102" i="30" s="1"/>
  <c r="V101" i="30"/>
  <c r="U101" i="30"/>
  <c r="W101" i="30" s="1"/>
  <c r="V100" i="30"/>
  <c r="K100" i="30" s="1"/>
  <c r="U100" i="30"/>
  <c r="W100" i="30" s="1"/>
  <c r="V99" i="30"/>
  <c r="U99" i="30"/>
  <c r="W99" i="30" s="1"/>
  <c r="V98" i="30"/>
  <c r="U98" i="30"/>
  <c r="W98" i="30" s="1"/>
  <c r="V97" i="30"/>
  <c r="U97" i="30"/>
  <c r="W97" i="30" s="1"/>
  <c r="V96" i="30"/>
  <c r="U96" i="30"/>
  <c r="W96" i="30" s="1"/>
  <c r="V95" i="30"/>
  <c r="U95" i="30"/>
  <c r="W95" i="30" s="1"/>
  <c r="V94" i="30"/>
  <c r="U94" i="30"/>
  <c r="W94" i="30" s="1"/>
  <c r="V93" i="30"/>
  <c r="U93" i="30"/>
  <c r="W93" i="30" s="1"/>
  <c r="V92" i="30"/>
  <c r="U92" i="30"/>
  <c r="W92" i="30" s="1"/>
  <c r="V91" i="30"/>
  <c r="U91" i="30"/>
  <c r="W91" i="30" s="1"/>
  <c r="V90" i="30"/>
  <c r="U90" i="30"/>
  <c r="W90" i="30" s="1"/>
  <c r="V89" i="30"/>
  <c r="U89" i="30"/>
  <c r="W89" i="30" s="1"/>
  <c r="V88" i="30"/>
  <c r="U88" i="30"/>
  <c r="W88" i="30" s="1"/>
  <c r="V87" i="30"/>
  <c r="U87" i="30"/>
  <c r="W87" i="30" s="1"/>
  <c r="V86" i="30"/>
  <c r="U86" i="30"/>
  <c r="W86" i="30" s="1"/>
  <c r="V85" i="30"/>
  <c r="U85" i="30"/>
  <c r="W85" i="30" s="1"/>
  <c r="V84" i="30"/>
  <c r="U84" i="30"/>
  <c r="W84" i="30" s="1"/>
  <c r="V83" i="30"/>
  <c r="U83" i="30"/>
  <c r="W83" i="30" s="1"/>
  <c r="V82" i="30"/>
  <c r="U82" i="30"/>
  <c r="W82" i="30" s="1"/>
  <c r="V81" i="30"/>
  <c r="U81" i="30"/>
  <c r="W81" i="30" s="1"/>
  <c r="V80" i="30"/>
  <c r="U80" i="30"/>
  <c r="W80" i="30" s="1"/>
  <c r="V79" i="30"/>
  <c r="U79" i="30"/>
  <c r="W79" i="30" s="1"/>
  <c r="V78" i="30"/>
  <c r="U78" i="30"/>
  <c r="W78" i="30" s="1"/>
  <c r="V77" i="30"/>
  <c r="U77" i="30"/>
  <c r="W77" i="30" s="1"/>
  <c r="V76" i="30"/>
  <c r="U76" i="30"/>
  <c r="W76" i="30" s="1"/>
  <c r="V75" i="30"/>
  <c r="U75" i="30"/>
  <c r="W75" i="30" s="1"/>
  <c r="V74" i="30"/>
  <c r="U74" i="30"/>
  <c r="W74" i="30" s="1"/>
  <c r="V73" i="30"/>
  <c r="U73" i="30"/>
  <c r="W73" i="30" s="1"/>
  <c r="V72" i="30"/>
  <c r="U72" i="30"/>
  <c r="W72" i="30" s="1"/>
  <c r="V71" i="30"/>
  <c r="U71" i="30"/>
  <c r="W71" i="30" s="1"/>
  <c r="V70" i="30"/>
  <c r="U70" i="30"/>
  <c r="W70" i="30" s="1"/>
  <c r="V69" i="30"/>
  <c r="U69" i="30"/>
  <c r="W69" i="30" s="1"/>
  <c r="V68" i="30"/>
  <c r="U68" i="30"/>
  <c r="W68" i="30" s="1"/>
  <c r="V67" i="30"/>
  <c r="U67" i="30"/>
  <c r="W67" i="30" s="1"/>
  <c r="V66" i="30"/>
  <c r="U66" i="30"/>
  <c r="W66" i="30" s="1"/>
  <c r="V65" i="30"/>
  <c r="K65" i="30" s="1"/>
  <c r="U65" i="30"/>
  <c r="W65" i="30" s="1"/>
  <c r="V64" i="30"/>
  <c r="K64" i="30" s="1"/>
  <c r="U64" i="30"/>
  <c r="W64" i="30" s="1"/>
  <c r="V63" i="30"/>
  <c r="K63" i="30" s="1"/>
  <c r="U63" i="30"/>
  <c r="W63" i="30" s="1"/>
  <c r="V62" i="30"/>
  <c r="K62" i="30" s="1"/>
  <c r="U62" i="30"/>
  <c r="W62" i="30" s="1"/>
  <c r="V61" i="30"/>
  <c r="K61" i="30" s="1"/>
  <c r="U61" i="30"/>
  <c r="W61" i="30" s="1"/>
  <c r="V60" i="30"/>
  <c r="K60" i="30" s="1"/>
  <c r="U60" i="30"/>
  <c r="W60" i="30" s="1"/>
  <c r="V59" i="30"/>
  <c r="K59" i="30" s="1"/>
  <c r="U59" i="30"/>
  <c r="W59" i="30" s="1"/>
  <c r="V58" i="30"/>
  <c r="K58" i="30" s="1"/>
  <c r="U58" i="30"/>
  <c r="W58" i="30" s="1"/>
  <c r="V57" i="30"/>
  <c r="K57" i="30" s="1"/>
  <c r="U57" i="30"/>
  <c r="W57" i="30" s="1"/>
  <c r="V56" i="30"/>
  <c r="K56" i="30" s="1"/>
  <c r="U56" i="30"/>
  <c r="W56" i="30" s="1"/>
  <c r="U55" i="30"/>
  <c r="W55" i="30" s="1"/>
  <c r="K54" i="30"/>
  <c r="J55" i="30"/>
  <c r="D3" i="30"/>
  <c r="N52" i="8"/>
  <c r="G52" i="8" s="1"/>
  <c r="N45" i="8"/>
  <c r="G45" i="8" s="1"/>
  <c r="N42" i="8"/>
  <c r="G42" i="8" s="1"/>
  <c r="N38" i="8"/>
  <c r="G38" i="8" s="1"/>
  <c r="G23" i="8"/>
  <c r="G10" i="8"/>
  <c r="E3" i="8"/>
  <c r="R26" i="4"/>
  <c r="F26" i="15"/>
  <c r="I26" i="15" s="1"/>
  <c r="C71" i="30" l="1"/>
  <c r="C55" i="30"/>
  <c r="C56" i="30"/>
  <c r="C57" i="30"/>
  <c r="C79" i="30"/>
  <c r="C103" i="30"/>
  <c r="C58" i="30"/>
  <c r="C66" i="30"/>
  <c r="C74" i="30"/>
  <c r="C82" i="30"/>
  <c r="C90" i="30"/>
  <c r="C98" i="30"/>
  <c r="C59" i="30"/>
  <c r="C63" i="30"/>
  <c r="C67" i="30"/>
  <c r="C75" i="30"/>
  <c r="C83" i="30"/>
  <c r="C87" i="30"/>
  <c r="C91" i="30"/>
  <c r="C95" i="30"/>
  <c r="C99" i="30"/>
  <c r="C62" i="30"/>
  <c r="C70" i="30"/>
  <c r="C78" i="30"/>
  <c r="C86" i="30"/>
  <c r="C94" i="30"/>
  <c r="C102" i="30"/>
  <c r="C61" i="30"/>
  <c r="C65" i="30"/>
  <c r="C69" i="30"/>
  <c r="C73" i="30"/>
  <c r="C77" i="30"/>
  <c r="C81" i="30"/>
  <c r="C85" i="30"/>
  <c r="C89" i="30"/>
  <c r="C93" i="30"/>
  <c r="C97" i="30"/>
  <c r="C101" i="30"/>
  <c r="C54" i="30"/>
  <c r="C60" i="30"/>
  <c r="C64" i="30"/>
  <c r="C68" i="30"/>
  <c r="C72" i="30"/>
  <c r="C76" i="30"/>
  <c r="C80" i="30"/>
  <c r="C84" i="30"/>
  <c r="C88" i="30"/>
  <c r="C92" i="30"/>
  <c r="C96" i="30"/>
  <c r="C100" i="30"/>
  <c r="E3" i="16"/>
  <c r="E3" i="9"/>
  <c r="F3" i="4" l="1"/>
  <c r="T36" i="4" l="1"/>
  <c r="T34" i="4"/>
  <c r="I56" i="16" l="1"/>
  <c r="J54" i="16"/>
  <c r="J28" i="4" l="1"/>
  <c r="U54" i="30" l="1"/>
  <c r="W54" i="30" s="1"/>
  <c r="G8" i="8" l="1"/>
  <c r="G54" i="8"/>
  <c r="G53" i="8"/>
  <c r="G27" i="8"/>
  <c r="G25" i="8"/>
  <c r="G28" i="8"/>
  <c r="G26" i="8"/>
  <c r="D1" i="8" l="1"/>
  <c r="B1" i="8"/>
  <c r="G47" i="8"/>
  <c r="G46" i="8"/>
  <c r="G44" i="8"/>
  <c r="G43" i="8"/>
  <c r="G41" i="8"/>
  <c r="G39" i="8"/>
  <c r="G40" i="8"/>
  <c r="G13" i="8" l="1"/>
  <c r="G12" i="8"/>
  <c r="G9" i="8"/>
  <c r="G22" i="8"/>
  <c r="M174" i="16" l="1"/>
  <c r="E21" i="9" l="1"/>
  <c r="I60" i="16" l="1"/>
  <c r="E31" i="9" l="1"/>
  <c r="B1" i="9" s="1"/>
  <c r="E19" i="9"/>
  <c r="J118" i="16" l="1"/>
  <c r="J119" i="16"/>
  <c r="J28" i="16" l="1"/>
  <c r="J27" i="16" s="1"/>
  <c r="J26" i="16" l="1"/>
  <c r="G17" i="15"/>
  <c r="E35" i="9"/>
  <c r="J63" i="16" l="1"/>
  <c r="K65" i="16" s="1"/>
  <c r="I65" i="16" s="1"/>
  <c r="D21" i="17"/>
  <c r="H21" i="17" s="1"/>
  <c r="D1" i="27" l="1"/>
  <c r="I49" i="12" s="1"/>
  <c r="K50" i="12" s="1"/>
  <c r="B1" i="27"/>
  <c r="G49" i="12" s="1"/>
  <c r="D24" i="17" l="1"/>
  <c r="R51" i="17"/>
  <c r="H51" i="17" s="1"/>
  <c r="G23" i="17"/>
  <c r="D23" i="17"/>
  <c r="B12" i="27"/>
  <c r="R28" i="4"/>
  <c r="T28" i="4" s="1"/>
  <c r="T27" i="4"/>
  <c r="T26" i="4"/>
  <c r="T25" i="4"/>
  <c r="T24" i="4"/>
  <c r="J37" i="4"/>
  <c r="T37" i="4" s="1"/>
  <c r="I121" i="16"/>
  <c r="E25" i="9"/>
  <c r="E23" i="9"/>
  <c r="E22" i="9"/>
  <c r="G21" i="9"/>
  <c r="E20" i="9"/>
  <c r="F5" i="15" s="1"/>
  <c r="H5" i="15" s="1"/>
  <c r="E16" i="9"/>
  <c r="E15" i="9"/>
  <c r="E14" i="9"/>
  <c r="E13" i="9"/>
  <c r="E12" i="9"/>
  <c r="E11" i="9"/>
  <c r="E10" i="9"/>
  <c r="I28" i="15"/>
  <c r="I27" i="15"/>
  <c r="I25" i="15"/>
  <c r="I24" i="15"/>
  <c r="I22" i="15"/>
  <c r="F20" i="15"/>
  <c r="F18" i="15"/>
  <c r="F16" i="15"/>
  <c r="F15" i="15"/>
  <c r="F14" i="15"/>
  <c r="I14" i="15" s="1"/>
  <c r="F13" i="15"/>
  <c r="F10" i="15"/>
  <c r="F9" i="15"/>
  <c r="F8" i="15"/>
  <c r="F7" i="15"/>
  <c r="F6" i="15"/>
  <c r="F4" i="15"/>
  <c r="I19" i="16"/>
  <c r="K19" i="16" s="1"/>
  <c r="I62" i="16"/>
  <c r="I61" i="16"/>
  <c r="D1" i="16" s="1"/>
  <c r="I55" i="16"/>
  <c r="I52" i="16"/>
  <c r="I51" i="16"/>
  <c r="I47" i="16"/>
  <c r="I46" i="16"/>
  <c r="I45" i="16"/>
  <c r="I44" i="16"/>
  <c r="I42" i="16"/>
  <c r="I41" i="16"/>
  <c r="I40" i="16"/>
  <c r="I33" i="16"/>
  <c r="I32" i="16"/>
  <c r="I31" i="16"/>
  <c r="I29" i="16"/>
  <c r="I18" i="16"/>
  <c r="I17" i="16"/>
  <c r="I16" i="16"/>
  <c r="I15" i="16"/>
  <c r="I12" i="16"/>
  <c r="I11" i="16"/>
  <c r="I10" i="16"/>
  <c r="I160" i="16"/>
  <c r="I159" i="16"/>
  <c r="I158" i="16"/>
  <c r="I157" i="16"/>
  <c r="I156" i="16"/>
  <c r="I155" i="16"/>
  <c r="I154"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C160" i="16"/>
  <c r="C159" i="16"/>
  <c r="C158" i="16"/>
  <c r="C157" i="16"/>
  <c r="C156" i="16"/>
  <c r="C155"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J45" i="4"/>
  <c r="J44" i="4"/>
  <c r="J43" i="4"/>
  <c r="T43" i="4" s="1"/>
  <c r="T41" i="4"/>
  <c r="J40" i="4"/>
  <c r="T40" i="4" s="1"/>
  <c r="J39" i="4"/>
  <c r="T39" i="4" s="1"/>
  <c r="J38" i="4"/>
  <c r="T38" i="4" s="1"/>
  <c r="J36" i="4"/>
  <c r="J35" i="4"/>
  <c r="T35" i="4" s="1"/>
  <c r="J34" i="4"/>
  <c r="J33" i="4"/>
  <c r="T33" i="4" s="1"/>
  <c r="J32" i="4"/>
  <c r="J31" i="4"/>
  <c r="D42" i="17"/>
  <c r="T42" i="17" s="1"/>
  <c r="D41" i="17"/>
  <c r="T41" i="17" s="1"/>
  <c r="D36" i="17"/>
  <c r="T36" i="17" s="1"/>
  <c r="D34" i="17"/>
  <c r="D27" i="17"/>
  <c r="D26" i="17"/>
  <c r="G11" i="30"/>
  <c r="N174" i="16"/>
  <c r="R174" i="16" s="1"/>
  <c r="R39" i="17"/>
  <c r="H39" i="17" s="1"/>
  <c r="I55" i="8"/>
  <c r="K57" i="8"/>
  <c r="D30" i="17"/>
  <c r="O101" i="17"/>
  <c r="P101" i="17"/>
  <c r="P47" i="17" s="1"/>
  <c r="J56" i="30"/>
  <c r="J57" i="30"/>
  <c r="J58" i="30"/>
  <c r="J59" i="30"/>
  <c r="J60" i="30"/>
  <c r="J61" i="30"/>
  <c r="J62" i="30"/>
  <c r="J63" i="30"/>
  <c r="J64" i="30"/>
  <c r="J65" i="30"/>
  <c r="J66" i="30"/>
  <c r="J67" i="30"/>
  <c r="J68" i="30"/>
  <c r="J69" i="30"/>
  <c r="J70" i="30"/>
  <c r="J71" i="30"/>
  <c r="J72" i="30"/>
  <c r="J73" i="30"/>
  <c r="J74" i="30"/>
  <c r="J75" i="30"/>
  <c r="J76" i="30"/>
  <c r="J77" i="30"/>
  <c r="J78" i="30"/>
  <c r="J79" i="30"/>
  <c r="J80" i="30"/>
  <c r="J81" i="30"/>
  <c r="J82" i="30"/>
  <c r="J83" i="30"/>
  <c r="J84" i="30"/>
  <c r="J85" i="30"/>
  <c r="J86" i="30"/>
  <c r="J87" i="30"/>
  <c r="J88" i="30"/>
  <c r="J89" i="30"/>
  <c r="J90" i="30"/>
  <c r="J91" i="30"/>
  <c r="J92" i="30"/>
  <c r="J93" i="30"/>
  <c r="J94" i="30"/>
  <c r="J95" i="30"/>
  <c r="J96" i="30"/>
  <c r="J97" i="30"/>
  <c r="J98" i="30"/>
  <c r="J99" i="30"/>
  <c r="J100" i="30"/>
  <c r="J101" i="30"/>
  <c r="J102" i="30"/>
  <c r="J103" i="30"/>
  <c r="J54" i="30"/>
  <c r="I25" i="8"/>
  <c r="I23" i="8"/>
  <c r="I42" i="8"/>
  <c r="K44" i="8"/>
  <c r="I52" i="8"/>
  <c r="K54" i="8"/>
  <c r="I38" i="8"/>
  <c r="I8" i="8"/>
  <c r="K10" i="8"/>
  <c r="I45" i="8"/>
  <c r="G26" i="17"/>
  <c r="G27" i="17"/>
  <c r="F13" i="17"/>
  <c r="D22" i="17"/>
  <c r="H22" i="17" s="1"/>
  <c r="G24" i="17"/>
  <c r="D25" i="17"/>
  <c r="R25" i="17" s="1"/>
  <c r="H25" i="17" s="1"/>
  <c r="D28" i="17"/>
  <c r="R28" i="17" s="1"/>
  <c r="H28" i="17" s="1"/>
  <c r="D29" i="17"/>
  <c r="R29" i="17" s="1"/>
  <c r="H29" i="17" s="1"/>
  <c r="G36" i="17"/>
  <c r="D37" i="17"/>
  <c r="G37" i="17"/>
  <c r="G38" i="17"/>
  <c r="G40" i="17"/>
  <c r="G42" i="17"/>
  <c r="G43" i="17"/>
  <c r="F45" i="17"/>
  <c r="F46" i="17"/>
  <c r="R52" i="17"/>
  <c r="H52" i="17" s="1"/>
  <c r="R53" i="17"/>
  <c r="H53" i="17" s="1"/>
  <c r="R54" i="17"/>
  <c r="H54" i="17" s="1"/>
  <c r="R55" i="17"/>
  <c r="H55" i="17" s="1"/>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K47" i="8"/>
  <c r="I36" i="8"/>
  <c r="I31" i="8"/>
  <c r="I27" i="8"/>
  <c r="I11" i="8"/>
  <c r="R54" i="30"/>
  <c r="R55" i="30"/>
  <c r="R56" i="30"/>
  <c r="R57" i="30"/>
  <c r="R58" i="30"/>
  <c r="R59" i="30"/>
  <c r="R60" i="30"/>
  <c r="R61" i="30"/>
  <c r="R62" i="30"/>
  <c r="R63" i="30"/>
  <c r="R64" i="30"/>
  <c r="R65" i="30"/>
  <c r="R66" i="30"/>
  <c r="R67" i="30"/>
  <c r="R68" i="30"/>
  <c r="R69" i="30"/>
  <c r="R70" i="30"/>
  <c r="R71" i="30"/>
  <c r="R72" i="30"/>
  <c r="R73" i="30"/>
  <c r="R74" i="30"/>
  <c r="R75" i="30"/>
  <c r="R76" i="30"/>
  <c r="R77" i="30"/>
  <c r="R78" i="30"/>
  <c r="R79" i="30"/>
  <c r="R80" i="30"/>
  <c r="R81" i="30"/>
  <c r="R82" i="30"/>
  <c r="R83" i="30"/>
  <c r="R84" i="30"/>
  <c r="R85" i="30"/>
  <c r="R86" i="30"/>
  <c r="R87" i="30"/>
  <c r="R88" i="30"/>
  <c r="R89" i="30"/>
  <c r="R90" i="30"/>
  <c r="R91" i="30"/>
  <c r="R92" i="30"/>
  <c r="R93" i="30"/>
  <c r="R94" i="30"/>
  <c r="R95" i="30"/>
  <c r="R96" i="30"/>
  <c r="R97" i="30"/>
  <c r="R98" i="30"/>
  <c r="R99" i="30"/>
  <c r="R100" i="30"/>
  <c r="R101" i="30"/>
  <c r="R102" i="30"/>
  <c r="R103" i="30"/>
  <c r="I42" i="4"/>
  <c r="K49" i="12"/>
  <c r="D1" i="9" l="1"/>
  <c r="I39" i="12" s="1"/>
  <c r="G39" i="12"/>
  <c r="K39" i="12" s="1"/>
  <c r="W37" i="17"/>
  <c r="R37" i="17" s="1"/>
  <c r="H37" i="17" s="1"/>
  <c r="W27" i="17"/>
  <c r="R27" i="17" s="1"/>
  <c r="H27" i="17" s="1"/>
  <c r="W26" i="17"/>
  <c r="R26" i="17"/>
  <c r="H26" i="17" s="1"/>
  <c r="W24" i="17"/>
  <c r="R24" i="17" s="1"/>
  <c r="H24" i="17" s="1"/>
  <c r="R40" i="17"/>
  <c r="H40" i="17" s="1"/>
  <c r="W23" i="17"/>
  <c r="R23" i="17" s="1"/>
  <c r="H23" i="17" s="1"/>
  <c r="G20" i="9"/>
  <c r="J104" i="30"/>
  <c r="G12" i="30" s="1"/>
  <c r="H10" i="30" s="1"/>
  <c r="B1" i="30"/>
  <c r="G47" i="12" s="1"/>
  <c r="K47" i="12" s="1"/>
  <c r="S42" i="17"/>
  <c r="R42" i="17" s="1"/>
  <c r="H42" i="17" s="1"/>
  <c r="J42" i="17" s="1"/>
  <c r="I29" i="8"/>
  <c r="T23" i="4"/>
  <c r="D38" i="17"/>
  <c r="T38" i="17" s="1"/>
  <c r="G19" i="9"/>
  <c r="B1" i="15"/>
  <c r="G37" i="12" s="1"/>
  <c r="D1" i="15"/>
  <c r="I37" i="12" s="1"/>
  <c r="O48" i="17"/>
  <c r="O47" i="17" s="1"/>
  <c r="R104" i="30"/>
  <c r="S36" i="17"/>
  <c r="R36" i="17" s="1"/>
  <c r="H36" i="17" s="1"/>
  <c r="F33" i="17"/>
  <c r="K46" i="8"/>
  <c r="I33" i="8"/>
  <c r="I34" i="8"/>
  <c r="K37" i="8"/>
  <c r="Q174" i="16"/>
  <c r="S174" i="16" s="1"/>
  <c r="T174" i="16" s="1"/>
  <c r="D33" i="17"/>
  <c r="S41" i="17"/>
  <c r="I35" i="8"/>
  <c r="I32" i="8"/>
  <c r="K40" i="12" l="1"/>
  <c r="F34" i="17"/>
  <c r="F32" i="17" s="1"/>
  <c r="G32" i="17" s="1"/>
  <c r="G35" i="17"/>
  <c r="W35" i="17"/>
  <c r="R35" i="17" s="1"/>
  <c r="H35" i="17" s="1"/>
  <c r="G10" i="30"/>
  <c r="D1" i="30" s="1"/>
  <c r="I47" i="12" s="1"/>
  <c r="K48" i="12" s="1"/>
  <c r="F13" i="30"/>
  <c r="K38" i="12"/>
  <c r="K37" i="12"/>
  <c r="I45" i="12"/>
  <c r="K46" i="12" s="1"/>
  <c r="G45" i="12"/>
  <c r="K45" i="12" s="1"/>
  <c r="S38" i="17"/>
  <c r="R38" i="17" s="1"/>
  <c r="H38" i="17" s="1"/>
  <c r="R41" i="17"/>
  <c r="H41" i="17" s="1"/>
  <c r="J41" i="17" s="1"/>
  <c r="D31" i="17"/>
  <c r="W34" i="17" l="1"/>
  <c r="R34" i="17" s="1"/>
  <c r="H34" i="17" s="1"/>
  <c r="G34" i="17"/>
  <c r="D43" i="17"/>
  <c r="E40" i="17" l="1"/>
  <c r="S43" i="17"/>
  <c r="C43" i="17" s="1"/>
  <c r="E35" i="17"/>
  <c r="G33" i="17"/>
  <c r="W33" i="17"/>
  <c r="R33" i="17" s="1"/>
  <c r="H33" i="17" s="1"/>
  <c r="E27" i="17"/>
  <c r="E29" i="17"/>
  <c r="E24" i="17"/>
  <c r="E26" i="17"/>
  <c r="E42" i="17"/>
  <c r="E23" i="17"/>
  <c r="E37" i="17"/>
  <c r="E41" i="17"/>
  <c r="E36" i="17"/>
  <c r="E30" i="17"/>
  <c r="E43" i="17"/>
  <c r="E34" i="17"/>
  <c r="E38" i="17"/>
  <c r="E31" i="17"/>
  <c r="E33" i="17"/>
  <c r="I119" i="16"/>
  <c r="I118" i="16"/>
  <c r="B1" i="16" l="1"/>
  <c r="G41" i="12" s="1"/>
  <c r="I41" i="12"/>
  <c r="R43" i="17"/>
  <c r="H43" i="17" s="1"/>
  <c r="J29" i="4"/>
  <c r="D32" i="17"/>
  <c r="B1" i="4" l="1"/>
  <c r="G43" i="12" s="1"/>
  <c r="D1" i="4"/>
  <c r="I43" i="12" s="1"/>
  <c r="K44" i="12" s="1"/>
  <c r="W32" i="17"/>
  <c r="R32" i="17" s="1"/>
  <c r="H32" i="17" s="1"/>
  <c r="K42" i="12"/>
  <c r="K41" i="12"/>
  <c r="R29" i="4"/>
  <c r="T29" i="4" s="1"/>
  <c r="E32" i="17"/>
  <c r="K43" i="12" l="1"/>
  <c r="S5" i="56"/>
  <c r="B1" i="12"/>
  <c r="D1" i="12"/>
  <c r="T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9103ECE4-5DC8-4BAB-B22F-3C0787686B01}">
      <text>
        <r>
          <rPr>
            <b/>
            <sz val="10"/>
            <color indexed="10"/>
            <rFont val="MS P ゴシック"/>
            <family val="3"/>
            <charset val="128"/>
          </rPr>
          <t>1. H30年度以降の発注工事については、特記仕様書に添付の数量総括表を確認の上、交通誘導警備員Aに要した費用（労務賃金）をこちら「直接工事費（労務費）」の記入欄、もしくは「共通仮設費（安全費）」の記入欄に入力してください。
2. H29年度以前の発注工事については、交通誘導警備員Aに要した費用を「共通仮設費（安全費）」の記入欄に入力してください。</t>
        </r>
      </text>
    </comment>
    <comment ref="J14" authorId="0" shapeId="0" xr:uid="{D7DFDE98-551E-4619-97EB-540300A29F8A}">
      <text>
        <r>
          <rPr>
            <b/>
            <sz val="10"/>
            <color indexed="10"/>
            <rFont val="MS P ゴシック"/>
            <family val="3"/>
            <charset val="128"/>
          </rPr>
          <t>1. H30年度以降の発注工事については、特記仕様書に添付の数量総括表を確認の上、交通誘導警備員Bに要した費用（労務賃金）をこちら「直接工事費（労務費）」の記入欄、もしくは「共通仮設費（安全費）」の記入欄に入力してください。
2. H29年度以前の発注工事については、交通誘導警備員Bに要した費用を「共通仮設費（安全費）」の記入欄に入力してください。</t>
        </r>
      </text>
    </comment>
    <comment ref="S171" authorId="0" shapeId="0" xr:uid="{00000000-0006-0000-0300-000001000000}">
      <text>
        <r>
          <rPr>
            <sz val="10"/>
            <color indexed="81"/>
            <rFont val="ＭＳ Ｐゴシック"/>
            <family val="3"/>
            <charset val="128"/>
          </rPr>
          <t>ケース1【非対象0(全額対象)の場合】
   ⑤：以下、⑥：以下
ケース2【3％以上非対象の場合】</t>
        </r>
        <r>
          <rPr>
            <sz val="9"/>
            <color indexed="81"/>
            <rFont val="ＭＳ Ｐゴシック"/>
            <family val="3"/>
            <charset val="128"/>
          </rPr>
          <t xml:space="preserve">
　⑤：以上、⑥：以下
ケース3【3千万以上非対象の場合】
　⑤：以上、⑥：以上
　⑤：以下、⑥：以上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00000000-0006-0000-0900-000001000000}">
      <text>
        <r>
          <rPr>
            <b/>
            <sz val="9"/>
            <color indexed="81"/>
            <rFont val="ＭＳ Ｐゴシック"/>
            <family val="3"/>
            <charset val="128"/>
          </rPr>
          <t>作成者:</t>
        </r>
        <r>
          <rPr>
            <sz val="9"/>
            <color indexed="81"/>
            <rFont val="ＭＳ Ｐゴシック"/>
            <family val="3"/>
            <charset val="128"/>
          </rPr>
          <t xml:space="preserve">
Module2のCheckを実行した回数を自動記録します。
回収システムのＦＤ回収時にチェックを実行するか否かの判定に使います。</t>
        </r>
      </text>
    </comment>
  </commentList>
</comments>
</file>

<file path=xl/sharedStrings.xml><?xml version="1.0" encoding="utf-8"?>
<sst xmlns="http://schemas.openxmlformats.org/spreadsheetml/2006/main" count="8856" uniqueCount="5462">
  <si>
    <t>２．元請ファイルの入力状況（未入力・エラー件数）</t>
    <rPh sb="2" eb="4">
      <t>モトウケ</t>
    </rPh>
    <rPh sb="9" eb="11">
      <t>ニュウリョク</t>
    </rPh>
    <rPh sb="11" eb="13">
      <t>ジョウキョウ</t>
    </rPh>
    <rPh sb="14" eb="17">
      <t>ミニュウリョク</t>
    </rPh>
    <rPh sb="21" eb="23">
      <t>ケンスウ</t>
    </rPh>
    <phoneticPr fontId="5"/>
  </si>
  <si>
    <t>「工事費」シートで工事費内訳を入力して下さい。入力することで工事価格が自動計算されます。</t>
    <rPh sb="1" eb="4">
      <t>コウジヒ</t>
    </rPh>
    <rPh sb="9" eb="12">
      <t>コウジヒ</t>
    </rPh>
    <rPh sb="23" eb="25">
      <t>ニュウリョク</t>
    </rPh>
    <rPh sb="30" eb="32">
      <t>コウジ</t>
    </rPh>
    <rPh sb="32" eb="34">
      <t>カカク</t>
    </rPh>
    <rPh sb="35" eb="37">
      <t>ジドウ</t>
    </rPh>
    <rPh sb="37" eb="39">
      <t>ケイサン</t>
    </rPh>
    <phoneticPr fontId="5"/>
  </si>
  <si>
    <t>直工+支給材+無償機械+事業損+準備費の処分費</t>
    <rPh sb="0" eb="2">
      <t>チョッコウ</t>
    </rPh>
    <rPh sb="3" eb="5">
      <t>シキュウ</t>
    </rPh>
    <rPh sb="5" eb="6">
      <t>ザイ</t>
    </rPh>
    <rPh sb="7" eb="9">
      <t>ムショウ</t>
    </rPh>
    <rPh sb="9" eb="11">
      <t>キカイ</t>
    </rPh>
    <rPh sb="12" eb="15">
      <t>ジギョウソン</t>
    </rPh>
    <rPh sb="16" eb="19">
      <t>ジュンビヒ</t>
    </rPh>
    <rPh sb="20" eb="23">
      <t>ショブンヒ</t>
    </rPh>
    <phoneticPr fontId="4"/>
  </si>
  <si>
    <t>②の上限額</t>
    <rPh sb="2" eb="4">
      <t>ジョウゲン</t>
    </rPh>
    <rPh sb="4" eb="5">
      <t>ガク</t>
    </rPh>
    <phoneticPr fontId="4"/>
  </si>
  <si>
    <t>管理費区分Ｔ（処分費等の対象）</t>
    <rPh sb="0" eb="3">
      <t>カンリヒ</t>
    </rPh>
    <rPh sb="3" eb="5">
      <t>クブン</t>
    </rPh>
    <rPh sb="7" eb="10">
      <t>ショブンヒ</t>
    </rPh>
    <rPh sb="10" eb="11">
      <t>トウ</t>
    </rPh>
    <rPh sb="12" eb="14">
      <t>タイショウ</t>
    </rPh>
    <phoneticPr fontId="4"/>
  </si>
  <si>
    <t>④処分費が3%以上・以下の判定
④＞②：以上
④＜②：以下</t>
    <rPh sb="1" eb="4">
      <t>ショブンヒ</t>
    </rPh>
    <rPh sb="7" eb="9">
      <t>イジョウ</t>
    </rPh>
    <rPh sb="10" eb="12">
      <t>イカ</t>
    </rPh>
    <rPh sb="13" eb="15">
      <t>ハンテイ</t>
    </rPh>
    <rPh sb="20" eb="22">
      <t>イジョウ</t>
    </rPh>
    <rPh sb="27" eb="29">
      <t>イカ</t>
    </rPh>
    <phoneticPr fontId="4"/>
  </si>
  <si>
    <t>②対象額が3千万以上・以下の判定
②＞③：以上
②＜③：以下</t>
    <rPh sb="1" eb="3">
      <t>タイショウ</t>
    </rPh>
    <rPh sb="3" eb="4">
      <t>ガク</t>
    </rPh>
    <rPh sb="6" eb="8">
      <t>センマン</t>
    </rPh>
    <rPh sb="8" eb="10">
      <t>イジョウ</t>
    </rPh>
    <rPh sb="11" eb="13">
      <t>イカ</t>
    </rPh>
    <rPh sb="14" eb="16">
      <t>ハンテイ</t>
    </rPh>
    <phoneticPr fontId="4"/>
  </si>
  <si>
    <t>ケース判定</t>
    <rPh sb="3" eb="5">
      <t>ハンテイ</t>
    </rPh>
    <phoneticPr fontId="4"/>
  </si>
  <si>
    <t>処分費非対象額</t>
    <rPh sb="0" eb="3">
      <t>ショブンヒ</t>
    </rPh>
    <rPh sb="3" eb="6">
      <t>ヒタイショウ</t>
    </rPh>
    <rPh sb="6" eb="7">
      <t>ガク</t>
    </rPh>
    <phoneticPr fontId="4"/>
  </si>
  <si>
    <t>②</t>
    <phoneticPr fontId="4"/>
  </si>
  <si>
    <t>③</t>
    <phoneticPr fontId="4"/>
  </si>
  <si>
    <t>④</t>
    <phoneticPr fontId="4"/>
  </si>
  <si>
    <t>⑤</t>
    <phoneticPr fontId="4"/>
  </si>
  <si>
    <t>⑥</t>
    <phoneticPr fontId="4"/>
  </si>
  <si>
    <t>⑦</t>
    <phoneticPr fontId="4"/>
  </si>
  <si>
    <t>⑧</t>
    <phoneticPr fontId="4"/>
  </si>
  <si>
    <t>1.鋼橋等工場製作費（機器単体費）を入力して下さい
2.費用が発生しない場合は0を入力して下さい</t>
    <rPh sb="2" eb="4">
      <t>コウキョウ</t>
    </rPh>
    <rPh sb="4" eb="5">
      <t>トウ</t>
    </rPh>
    <rPh sb="5" eb="7">
      <t>コウジョウ</t>
    </rPh>
    <rPh sb="7" eb="10">
      <t>セイサクヒ</t>
    </rPh>
    <rPh sb="31" eb="33">
      <t>ハッセイ</t>
    </rPh>
    <phoneticPr fontId="5"/>
  </si>
  <si>
    <t>要確認90</t>
    <phoneticPr fontId="5"/>
  </si>
  <si>
    <r>
      <t>・本シートは,受発注の入力金額を確認するシートです。
・入力修正が必要な場合は、工事費シート（発注ファイル）又は、元請ファイルを修正してください。
・</t>
    </r>
    <r>
      <rPr>
        <b/>
        <sz val="11"/>
        <rFont val="ＭＳ Ｐゴシック"/>
        <family val="3"/>
        <charset val="128"/>
      </rPr>
      <t>修正後は再度、「チェックの実行」を行ってください。</t>
    </r>
    <rPh sb="75" eb="77">
      <t>シュウセイ</t>
    </rPh>
    <rPh sb="77" eb="78">
      <t>ゴ</t>
    </rPh>
    <rPh sb="79" eb="81">
      <t>サイド</t>
    </rPh>
    <rPh sb="88" eb="90">
      <t>ジッコウ</t>
    </rPh>
    <rPh sb="92" eb="93">
      <t>オコナ</t>
    </rPh>
    <phoneticPr fontId="5"/>
  </si>
  <si>
    <r>
      <t>元請ファイルの鋼橋等工場製作費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0" eb="2">
      <t>モトウケ</t>
    </rPh>
    <rPh sb="7" eb="8">
      <t>コウ</t>
    </rPh>
    <rPh sb="8" eb="10">
      <t>バシナド</t>
    </rPh>
    <rPh sb="10" eb="12">
      <t>コウジョウ</t>
    </rPh>
    <rPh sb="12" eb="15">
      <t>セイサクヒ</t>
    </rPh>
    <phoneticPr fontId="5"/>
  </si>
  <si>
    <t>要確認92</t>
    <phoneticPr fontId="5"/>
  </si>
  <si>
    <t>発注者側の積算品目に相当する実績額を元請ファイルに入力するよう元請担当者に伝えて下さい
（元請ファイルでは鋼橋等工場製作費（機器単体費）分を直接工事費の材料費に誤計上していることが考えられます）</t>
    <rPh sb="37" eb="38">
      <t>ツタ</t>
    </rPh>
    <rPh sb="40" eb="41">
      <t>クダ</t>
    </rPh>
    <rPh sb="45" eb="47">
      <t>モトウケ</t>
    </rPh>
    <rPh sb="80" eb="81">
      <t>ゴ</t>
    </rPh>
    <rPh sb="90" eb="91">
      <t>カンガ</t>
    </rPh>
    <phoneticPr fontId="5"/>
  </si>
  <si>
    <t>要確認93</t>
    <phoneticPr fontId="5"/>
  </si>
  <si>
    <t>要確認94</t>
    <phoneticPr fontId="5"/>
  </si>
  <si>
    <r>
      <t>受発注で鋼橋等工場製作費</t>
    </r>
    <r>
      <rPr>
        <sz val="11"/>
        <rFont val="ＭＳ Ｐゴシック"/>
        <family val="3"/>
        <charset val="128"/>
      </rPr>
      <t xml:space="preserve">（機器単体費）の金額差が大きい
</t>
    </r>
    <r>
      <rPr>
        <b/>
        <sz val="11"/>
        <rFont val="ＭＳ Ｐゴシック"/>
        <family val="3"/>
        <charset val="128"/>
      </rPr>
      <t>（元請ファイル実績額の過大）</t>
    </r>
    <rPh sb="0" eb="3">
      <t>ジュハッチュウ</t>
    </rPh>
    <rPh sb="4" eb="5">
      <t>コウ</t>
    </rPh>
    <rPh sb="5" eb="7">
      <t>バシナド</t>
    </rPh>
    <rPh sb="7" eb="9">
      <t>コウジョウ</t>
    </rPh>
    <rPh sb="9" eb="12">
      <t>セイサクヒ</t>
    </rPh>
    <rPh sb="20" eb="22">
      <t>キンガク</t>
    </rPh>
    <rPh sb="22" eb="23">
      <t>サ</t>
    </rPh>
    <rPh sb="24" eb="25">
      <t>オオ</t>
    </rPh>
    <rPh sb="29" eb="31">
      <t>モトウケ</t>
    </rPh>
    <rPh sb="35" eb="37">
      <t>ジッセキ</t>
    </rPh>
    <rPh sb="37" eb="38">
      <t>ガク</t>
    </rPh>
    <rPh sb="39" eb="41">
      <t>カダイ</t>
    </rPh>
    <phoneticPr fontId="5"/>
  </si>
  <si>
    <t>1.金額は「千円」単位での入力になっているか？
2.発注ファイルの入力金額は正しいか？
3.元請ファイルの入力金額は正しいか？</t>
    <phoneticPr fontId="5"/>
  </si>
  <si>
    <t>要確認95</t>
    <phoneticPr fontId="5"/>
  </si>
  <si>
    <t>交通誘導員等</t>
    <rPh sb="2" eb="4">
      <t>ユウドウ</t>
    </rPh>
    <rPh sb="4" eb="6">
      <t>インナド</t>
    </rPh>
    <phoneticPr fontId="5"/>
  </si>
  <si>
    <t>交通誘導員Ａ</t>
    <rPh sb="0" eb="2">
      <t>コウツウ</t>
    </rPh>
    <rPh sb="2" eb="5">
      <t>ユウドウイン</t>
    </rPh>
    <phoneticPr fontId="5"/>
  </si>
  <si>
    <t>交通誘導員Ｂ</t>
    <rPh sb="0" eb="2">
      <t>コウツウ</t>
    </rPh>
    <rPh sb="2" eb="5">
      <t>ユウドウイン</t>
    </rPh>
    <phoneticPr fontId="5"/>
  </si>
  <si>
    <t>その他</t>
    <rPh sb="2" eb="3">
      <t>タ</t>
    </rPh>
    <phoneticPr fontId="5"/>
  </si>
  <si>
    <t>下請工事価格</t>
    <rPh sb="0" eb="2">
      <t>シタウケ</t>
    </rPh>
    <rPh sb="2" eb="4">
      <t>コウジ</t>
    </rPh>
    <rPh sb="4" eb="6">
      <t>カカク</t>
    </rPh>
    <phoneticPr fontId="5"/>
  </si>
  <si>
    <t>外注一般管理費等/下請工事
価格（％）</t>
    <rPh sb="0" eb="2">
      <t>ガイチュウ</t>
    </rPh>
    <rPh sb="2" eb="4">
      <t>イッパン</t>
    </rPh>
    <rPh sb="4" eb="7">
      <t>カンリヒ</t>
    </rPh>
    <rPh sb="7" eb="8">
      <t>トウ</t>
    </rPh>
    <rPh sb="9" eb="11">
      <t>シタウケ</t>
    </rPh>
    <rPh sb="11" eb="13">
      <t>コウジ</t>
    </rPh>
    <rPh sb="14" eb="16">
      <t>カカク</t>
    </rPh>
    <phoneticPr fontId="5"/>
  </si>
  <si>
    <t>デザイン照明ポール</t>
    <phoneticPr fontId="5"/>
  </si>
  <si>
    <t>エラー（E）の件数</t>
    <rPh sb="7" eb="9">
      <t>ケンスウ</t>
    </rPh>
    <phoneticPr fontId="5"/>
  </si>
  <si>
    <t>敷鉄板①</t>
    <phoneticPr fontId="5"/>
  </si>
  <si>
    <t>敷鉄板③</t>
    <phoneticPr fontId="5"/>
  </si>
  <si>
    <t>-</t>
    <phoneticPr fontId="5"/>
  </si>
  <si>
    <r>
      <t>受発注で鋼橋等工場製作費</t>
    </r>
    <r>
      <rPr>
        <sz val="11"/>
        <rFont val="ＭＳ Ｐゴシック"/>
        <family val="3"/>
        <charset val="128"/>
      </rPr>
      <t xml:space="preserve">（機器単体費）の金額差が大きい
</t>
    </r>
    <r>
      <rPr>
        <b/>
        <sz val="11"/>
        <rFont val="ＭＳ Ｐゴシック"/>
        <family val="3"/>
        <charset val="128"/>
      </rPr>
      <t>（元請ファイル実績額の過小）</t>
    </r>
    <rPh sb="0" eb="3">
      <t>ジュハッチュウ</t>
    </rPh>
    <rPh sb="4" eb="5">
      <t>コウ</t>
    </rPh>
    <rPh sb="5" eb="7">
      <t>バシナド</t>
    </rPh>
    <rPh sb="7" eb="9">
      <t>コウジョウ</t>
    </rPh>
    <rPh sb="9" eb="12">
      <t>セイサクヒ</t>
    </rPh>
    <rPh sb="20" eb="22">
      <t>キンガク</t>
    </rPh>
    <rPh sb="22" eb="23">
      <t>サ</t>
    </rPh>
    <rPh sb="24" eb="25">
      <t>オオ</t>
    </rPh>
    <rPh sb="29" eb="31">
      <t>モトウケ</t>
    </rPh>
    <rPh sb="35" eb="37">
      <t>ジッセキ</t>
    </rPh>
    <rPh sb="37" eb="38">
      <t>ガク</t>
    </rPh>
    <rPh sb="39" eb="41">
      <t>カショウ</t>
    </rPh>
    <phoneticPr fontId="5"/>
  </si>
  <si>
    <t>要確認109</t>
    <phoneticPr fontId="5"/>
  </si>
  <si>
    <r>
      <t>受発注で材料費の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7">
      <t>ザイリョウヒ</t>
    </rPh>
    <rPh sb="8" eb="10">
      <t>キンガク</t>
    </rPh>
    <rPh sb="10" eb="11">
      <t>サ</t>
    </rPh>
    <rPh sb="12" eb="13">
      <t>オオ</t>
    </rPh>
    <rPh sb="17" eb="19">
      <t>モトウケ</t>
    </rPh>
    <rPh sb="23" eb="25">
      <t>ジッセキ</t>
    </rPh>
    <rPh sb="25" eb="26">
      <t>ガク</t>
    </rPh>
    <rPh sb="27" eb="29">
      <t>カショウ</t>
    </rPh>
    <phoneticPr fontId="5"/>
  </si>
  <si>
    <r>
      <t>発注ファイルの支給材料費が</t>
    </r>
    <r>
      <rPr>
        <b/>
        <sz val="10"/>
        <rFont val="ＭＳ Ｐゴシック"/>
        <family val="3"/>
        <charset val="128"/>
      </rPr>
      <t>未入力</t>
    </r>
    <phoneticPr fontId="5"/>
  </si>
  <si>
    <r>
      <t>1.金額は「千円」単位での入力になっているか？
2.発注ファイルの入力金額は正しいか？
3.元請ファイルの入力金額は正しいか？
　</t>
    </r>
    <r>
      <rPr>
        <b/>
        <sz val="10"/>
        <rFont val="ＭＳ Ｐゴシック"/>
        <family val="3"/>
        <charset val="128"/>
      </rPr>
      <t>①現場作業員の賃金を「社員等従業員給料手当」に誤計上し、現場管理費が過大になっていないか？
　②「工事費」シートの「下請」入力欄において、労務費より社員等従業員給料手当が大きい場合は①を要確認
　③「工事費」シートの「下請」入力欄において、「外注一般管理費等」の金額が大きい場合は、直接工事費、共通仮設費に計上漏れがないか確認してください。
　　外注一般管理費等は、下請工事価格から工事原価を差し引いた金額です。実績費用に計上漏れがあると外注一般管理費等が大きくなります。</t>
    </r>
    <rPh sb="93" eb="95">
      <t>ゲンバ</t>
    </rPh>
    <rPh sb="95" eb="98">
      <t>カンリヒ</t>
    </rPh>
    <rPh sb="99" eb="101">
      <t>カダイ</t>
    </rPh>
    <rPh sb="196" eb="198">
      <t>キンガク</t>
    </rPh>
    <rPh sb="226" eb="228">
      <t>カクニン</t>
    </rPh>
    <rPh sb="238" eb="240">
      <t>ガイチュウ</t>
    </rPh>
    <rPh sb="240" eb="242">
      <t>イッパン</t>
    </rPh>
    <rPh sb="242" eb="245">
      <t>カンリヒ</t>
    </rPh>
    <rPh sb="245" eb="246">
      <t>トウ</t>
    </rPh>
    <rPh sb="248" eb="250">
      <t>シタウケ</t>
    </rPh>
    <rPh sb="250" eb="252">
      <t>コウジ</t>
    </rPh>
    <rPh sb="252" eb="254">
      <t>カカク</t>
    </rPh>
    <rPh sb="256" eb="258">
      <t>コウジ</t>
    </rPh>
    <rPh sb="258" eb="260">
      <t>ゲンカ</t>
    </rPh>
    <rPh sb="261" eb="262">
      <t>サ</t>
    </rPh>
    <rPh sb="263" eb="264">
      <t>ヒ</t>
    </rPh>
    <rPh sb="266" eb="268">
      <t>キンガク</t>
    </rPh>
    <rPh sb="271" eb="273">
      <t>ジッセキ</t>
    </rPh>
    <rPh sb="273" eb="275">
      <t>ヒヨウ</t>
    </rPh>
    <rPh sb="276" eb="278">
      <t>ケイジョウ</t>
    </rPh>
    <rPh sb="278" eb="279">
      <t>モ</t>
    </rPh>
    <rPh sb="284" eb="286">
      <t>ガイチュウ</t>
    </rPh>
    <rPh sb="286" eb="288">
      <t>イッパン</t>
    </rPh>
    <rPh sb="288" eb="291">
      <t>カンリヒ</t>
    </rPh>
    <rPh sb="291" eb="292">
      <t>トウ</t>
    </rPh>
    <rPh sb="293" eb="294">
      <t>オオ</t>
    </rPh>
    <phoneticPr fontId="5"/>
  </si>
  <si>
    <t>①対象額の3％額</t>
    <rPh sb="1" eb="3">
      <t>タイショウ</t>
    </rPh>
    <rPh sb="3" eb="4">
      <t>ガク</t>
    </rPh>
    <rPh sb="7" eb="8">
      <t>ガク</t>
    </rPh>
    <phoneticPr fontId="4"/>
  </si>
  <si>
    <t>所管名（１）</t>
    <rPh sb="0" eb="2">
      <t>ショカン</t>
    </rPh>
    <rPh sb="2" eb="3">
      <t>メイ</t>
    </rPh>
    <phoneticPr fontId="5"/>
  </si>
  <si>
    <t>所管名（２）</t>
    <rPh sb="0" eb="2">
      <t>ショカン</t>
    </rPh>
    <rPh sb="2" eb="3">
      <t>メイ</t>
    </rPh>
    <phoneticPr fontId="5"/>
  </si>
  <si>
    <t>　（４）機器間接費</t>
    <rPh sb="4" eb="6">
      <t>キキ</t>
    </rPh>
    <rPh sb="6" eb="8">
      <t>カンセツ</t>
    </rPh>
    <rPh sb="8" eb="9">
      <t>ヒ</t>
    </rPh>
    <phoneticPr fontId="5"/>
  </si>
  <si>
    <r>
      <t>発注ファイルの鋼橋等工場製作費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7" eb="8">
      <t>コウ</t>
    </rPh>
    <rPh sb="8" eb="10">
      <t>バシナド</t>
    </rPh>
    <rPh sb="10" eb="12">
      <t>コウジョウ</t>
    </rPh>
    <rPh sb="12" eb="15">
      <t>セイサクヒ</t>
    </rPh>
    <phoneticPr fontId="5"/>
  </si>
  <si>
    <t>要確認91</t>
    <phoneticPr fontId="5"/>
  </si>
  <si>
    <t>当初工事請負金額（消費税込）</t>
    <rPh sb="0" eb="2">
      <t>トウショ</t>
    </rPh>
    <rPh sb="2" eb="4">
      <t>コウジ</t>
    </rPh>
    <rPh sb="4" eb="6">
      <t>ウケオイ</t>
    </rPh>
    <rPh sb="6" eb="8">
      <t>キンガク</t>
    </rPh>
    <rPh sb="9" eb="12">
      <t>ショウヒゼイ</t>
    </rPh>
    <rPh sb="12" eb="13">
      <t>コ</t>
    </rPh>
    <phoneticPr fontId="5"/>
  </si>
  <si>
    <t>当初工事価格
（当初工事請負金額-消費税）</t>
    <rPh sb="0" eb="2">
      <t>トウショ</t>
    </rPh>
    <rPh sb="2" eb="4">
      <t>コウジ</t>
    </rPh>
    <rPh sb="4" eb="6">
      <t>カカク</t>
    </rPh>
    <rPh sb="8" eb="10">
      <t>トウショ</t>
    </rPh>
    <rPh sb="10" eb="12">
      <t>コウジ</t>
    </rPh>
    <rPh sb="12" eb="14">
      <t>ウケオイ</t>
    </rPh>
    <rPh sb="14" eb="16">
      <t>キンガク</t>
    </rPh>
    <rPh sb="17" eb="20">
      <t>ショウヒゼイ</t>
    </rPh>
    <phoneticPr fontId="5"/>
  </si>
  <si>
    <t>自走 による運搬</t>
    <phoneticPr fontId="5"/>
  </si>
  <si>
    <t>準備費</t>
    <phoneticPr fontId="5"/>
  </si>
  <si>
    <t>準備・測量等</t>
    <phoneticPr fontId="5"/>
  </si>
  <si>
    <t>事業損失防止施設費</t>
    <phoneticPr fontId="5"/>
  </si>
  <si>
    <t>安全費</t>
    <phoneticPr fontId="5"/>
  </si>
  <si>
    <t>安全管理費</t>
    <phoneticPr fontId="5"/>
  </si>
  <si>
    <t>(１)</t>
    <phoneticPr fontId="5"/>
  </si>
  <si>
    <t>(３)</t>
    <phoneticPr fontId="5"/>
  </si>
  <si>
    <t>(４)</t>
    <phoneticPr fontId="5"/>
  </si>
  <si>
    <t>無償貸付機械等評価額</t>
    <rPh sb="0" eb="2">
      <t>ムショウ</t>
    </rPh>
    <rPh sb="2" eb="3">
      <t>タイヨ</t>
    </rPh>
    <rPh sb="3" eb="4">
      <t>ツ</t>
    </rPh>
    <rPh sb="4" eb="6">
      <t>キカイ</t>
    </rPh>
    <rPh sb="6" eb="7">
      <t>ナド</t>
    </rPh>
    <rPh sb="7" eb="9">
      <t>ヒョウカ</t>
    </rPh>
    <rPh sb="9" eb="10">
      <t>ガク</t>
    </rPh>
    <phoneticPr fontId="5"/>
  </si>
  <si>
    <t>(６)</t>
    <phoneticPr fontId="5"/>
  </si>
  <si>
    <t>④</t>
    <phoneticPr fontId="5"/>
  </si>
  <si>
    <t>⑤</t>
    <phoneticPr fontId="5"/>
  </si>
  <si>
    <t>別途調査等工事価格</t>
    <phoneticPr fontId="5"/>
  </si>
  <si>
    <t>機器の製作及び据付け工事</t>
    <rPh sb="0" eb="2">
      <t>キキ</t>
    </rPh>
    <rPh sb="3" eb="5">
      <t>セイサク</t>
    </rPh>
    <rPh sb="5" eb="6">
      <t>オヨ</t>
    </rPh>
    <rPh sb="7" eb="9">
      <t>スエツ</t>
    </rPh>
    <rPh sb="10" eb="12">
      <t>コウジ</t>
    </rPh>
    <phoneticPr fontId="4"/>
  </si>
  <si>
    <t>機器の支給品がある工事</t>
    <rPh sb="9" eb="11">
      <t>コウジ</t>
    </rPh>
    <phoneticPr fontId="4"/>
  </si>
  <si>
    <t>YESの場合：施工箇所数を入力</t>
    <rPh sb="7" eb="9">
      <t>セコウ</t>
    </rPh>
    <rPh sb="9" eb="11">
      <t>カショ</t>
    </rPh>
    <rPh sb="11" eb="12">
      <t>カズ</t>
    </rPh>
    <phoneticPr fontId="6"/>
  </si>
  <si>
    <t>箇所）</t>
    <rPh sb="0" eb="2">
      <t>カショ</t>
    </rPh>
    <phoneticPr fontId="6"/>
  </si>
  <si>
    <r>
      <t>要確認</t>
    </r>
    <r>
      <rPr>
        <sz val="11"/>
        <rFont val="ＭＳ Ｐゴシック"/>
        <family val="3"/>
        <charset val="128"/>
      </rPr>
      <t>10</t>
    </r>
    <r>
      <rPr>
        <sz val="11"/>
        <rFont val="ＭＳ Ｐゴシック"/>
        <family val="3"/>
        <charset val="128"/>
      </rPr>
      <t>4</t>
    </r>
    <phoneticPr fontId="5"/>
  </si>
  <si>
    <r>
      <t>要確認</t>
    </r>
    <r>
      <rPr>
        <sz val="11"/>
        <rFont val="ＭＳ Ｐゴシック"/>
        <family val="3"/>
        <charset val="128"/>
      </rPr>
      <t>10</t>
    </r>
    <r>
      <rPr>
        <sz val="11"/>
        <rFont val="ＭＳ Ｐゴシック"/>
        <family val="3"/>
        <charset val="128"/>
      </rPr>
      <t>5</t>
    </r>
    <phoneticPr fontId="5"/>
  </si>
  <si>
    <r>
      <t>要確認</t>
    </r>
    <r>
      <rPr>
        <sz val="11"/>
        <rFont val="ＭＳ Ｐゴシック"/>
        <family val="3"/>
        <charset val="128"/>
      </rPr>
      <t>10</t>
    </r>
    <r>
      <rPr>
        <sz val="11"/>
        <rFont val="ＭＳ Ｐゴシック"/>
        <family val="3"/>
        <charset val="128"/>
      </rPr>
      <t>6</t>
    </r>
    <phoneticPr fontId="5"/>
  </si>
  <si>
    <r>
      <t>要確認</t>
    </r>
    <r>
      <rPr>
        <sz val="11"/>
        <rFont val="ＭＳ Ｐゴシック"/>
        <family val="3"/>
        <charset val="128"/>
      </rPr>
      <t>10</t>
    </r>
    <r>
      <rPr>
        <sz val="11"/>
        <rFont val="ＭＳ Ｐゴシック"/>
        <family val="3"/>
        <charset val="128"/>
      </rPr>
      <t>7</t>
    </r>
    <phoneticPr fontId="5"/>
  </si>
  <si>
    <r>
      <t>要確認</t>
    </r>
    <r>
      <rPr>
        <sz val="11"/>
        <rFont val="ＭＳ Ｐゴシック"/>
        <family val="3"/>
        <charset val="128"/>
      </rPr>
      <t>1</t>
    </r>
    <r>
      <rPr>
        <sz val="11"/>
        <rFont val="ＭＳ Ｐゴシック"/>
        <family val="3"/>
        <charset val="128"/>
      </rPr>
      <t>08</t>
    </r>
    <phoneticPr fontId="5"/>
  </si>
  <si>
    <t>要確認一覧表</t>
    <rPh sb="0" eb="1">
      <t>ヨウ</t>
    </rPh>
    <rPh sb="1" eb="3">
      <t>カクニン</t>
    </rPh>
    <rPh sb="3" eb="6">
      <t>イチランヒョウ</t>
    </rPh>
    <phoneticPr fontId="5"/>
  </si>
  <si>
    <t>北海道</t>
    <rPh sb="0" eb="3">
      <t>ホッカイドウ</t>
    </rPh>
    <phoneticPr fontId="5"/>
  </si>
  <si>
    <t>神奈川県</t>
    <rPh sb="0" eb="4">
      <t>カナガワケン</t>
    </rPh>
    <phoneticPr fontId="5"/>
  </si>
  <si>
    <t>愛知県</t>
    <rPh sb="0" eb="2">
      <t>アイチ</t>
    </rPh>
    <rPh sb="2" eb="3">
      <t>ケン</t>
    </rPh>
    <phoneticPr fontId="5"/>
  </si>
  <si>
    <t>要確認71</t>
    <phoneticPr fontId="5"/>
  </si>
  <si>
    <t>要確認72</t>
    <phoneticPr fontId="5"/>
  </si>
  <si>
    <t>要確認73</t>
    <phoneticPr fontId="5"/>
  </si>
  <si>
    <t>要確認74</t>
    <phoneticPr fontId="5"/>
  </si>
  <si>
    <t>要確認75</t>
    <phoneticPr fontId="5"/>
  </si>
  <si>
    <t>要確認76</t>
    <phoneticPr fontId="5"/>
  </si>
  <si>
    <t>要確認77</t>
    <phoneticPr fontId="5"/>
  </si>
  <si>
    <t>要確認83</t>
    <phoneticPr fontId="5"/>
  </si>
  <si>
    <t>要確認84</t>
    <phoneticPr fontId="5"/>
  </si>
  <si>
    <t>要確認85</t>
    <phoneticPr fontId="5"/>
  </si>
  <si>
    <t>要確認86</t>
    <phoneticPr fontId="5"/>
  </si>
  <si>
    <t>Ⅳ</t>
    <phoneticPr fontId="5"/>
  </si>
  <si>
    <t>999：その他</t>
  </si>
  <si>
    <t>101：東北地方整備局</t>
  </si>
  <si>
    <t>102：関東地方整備局</t>
  </si>
  <si>
    <t>103：北陸地方整備局</t>
  </si>
  <si>
    <t>104：中部地方整備局</t>
  </si>
  <si>
    <t>105：近畿地方整備局</t>
  </si>
  <si>
    <t>106：中国地方整備局</t>
  </si>
  <si>
    <t>107：四国地方整備局</t>
  </si>
  <si>
    <t>108：九州地方整備局</t>
  </si>
  <si>
    <t>109：北海道開発局</t>
  </si>
  <si>
    <t>110：沖縄総合事務局</t>
  </si>
  <si>
    <t>当該二次製品材料費の合計</t>
    <rPh sb="10" eb="12">
      <t>ゴウケイ</t>
    </rPh>
    <phoneticPr fontId="5"/>
  </si>
  <si>
    <t>二次製品</t>
    <rPh sb="0" eb="2">
      <t>ニジ</t>
    </rPh>
    <rPh sb="2" eb="4">
      <t>セイヒン</t>
    </rPh>
    <phoneticPr fontId="5"/>
  </si>
  <si>
    <t>下記対象品目に要した材料費</t>
    <phoneticPr fontId="5"/>
  </si>
  <si>
    <t>１．当該二次製品材料費</t>
    <phoneticPr fontId="5"/>
  </si>
  <si>
    <t>２．当該二次製品材料費の品目の内、</t>
    <phoneticPr fontId="5"/>
  </si>
  <si>
    <t>3：自動車専用道路及び鉄道等に近接又は交差する場所</t>
    <rPh sb="2" eb="5">
      <t>ジドウシャ</t>
    </rPh>
    <rPh sb="5" eb="7">
      <t>センヨウ</t>
    </rPh>
    <rPh sb="7" eb="9">
      <t>ドウロ</t>
    </rPh>
    <rPh sb="9" eb="10">
      <t>オヨ</t>
    </rPh>
    <rPh sb="11" eb="13">
      <t>テツドウ</t>
    </rPh>
    <rPh sb="13" eb="14">
      <t>ナド</t>
    </rPh>
    <rPh sb="15" eb="17">
      <t>キンセツ</t>
    </rPh>
    <rPh sb="17" eb="18">
      <t>マタ</t>
    </rPh>
    <rPh sb="19" eb="21">
      <t>コウサ</t>
    </rPh>
    <rPh sb="23" eb="25">
      <t>バショ</t>
    </rPh>
    <phoneticPr fontId="4"/>
  </si>
  <si>
    <t>１)</t>
    <phoneticPr fontId="5"/>
  </si>
  <si>
    <t>元請ファイル実績金額</t>
    <rPh sb="0" eb="2">
      <t>モトウケ</t>
    </rPh>
    <rPh sb="6" eb="8">
      <t>ジッセキ</t>
    </rPh>
    <rPh sb="8" eb="10">
      <t>キンガク</t>
    </rPh>
    <phoneticPr fontId="5"/>
  </si>
  <si>
    <r>
      <t>元請ファイルの共通仮設費が</t>
    </r>
    <r>
      <rPr>
        <b/>
        <sz val="11"/>
        <rFont val="ＭＳ Ｐゴシック"/>
        <family val="3"/>
        <charset val="128"/>
      </rPr>
      <t>「0」</t>
    </r>
    <rPh sb="7" eb="12">
      <t>キョウツウカセツヒ</t>
    </rPh>
    <phoneticPr fontId="5"/>
  </si>
  <si>
    <r>
      <t>受発注で共通仮設費の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2">
      <t>キンガク</t>
    </rPh>
    <rPh sb="12" eb="13">
      <t>サ</t>
    </rPh>
    <rPh sb="14" eb="15">
      <t>オオ</t>
    </rPh>
    <rPh sb="19" eb="21">
      <t>モトウケ</t>
    </rPh>
    <rPh sb="25" eb="27">
      <t>ジッセキ</t>
    </rPh>
    <rPh sb="27" eb="28">
      <t>ガク</t>
    </rPh>
    <rPh sb="29" eb="31">
      <t>カダイ</t>
    </rPh>
    <phoneticPr fontId="5"/>
  </si>
  <si>
    <t>「へ.技術管理費」に入力されている金額</t>
    <rPh sb="3" eb="5">
      <t>ギジュツ</t>
    </rPh>
    <rPh sb="5" eb="7">
      <t>カンリ</t>
    </rPh>
    <rPh sb="7" eb="8">
      <t>ヒ</t>
    </rPh>
    <rPh sb="10" eb="12">
      <t>ニュウリョク</t>
    </rPh>
    <rPh sb="17" eb="19">
      <t>キンガク</t>
    </rPh>
    <phoneticPr fontId="5"/>
  </si>
  <si>
    <t>確認結果</t>
    <rPh sb="0" eb="2">
      <t>カクニン</t>
    </rPh>
    <rPh sb="2" eb="4">
      <t>ケッカ</t>
    </rPh>
    <phoneticPr fontId="5"/>
  </si>
  <si>
    <r>
      <t>受発注で共通仮設費の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2">
      <t>キンガク</t>
    </rPh>
    <rPh sb="12" eb="13">
      <t>サ</t>
    </rPh>
    <rPh sb="14" eb="15">
      <t>オオ</t>
    </rPh>
    <rPh sb="19" eb="21">
      <t>モトウケ</t>
    </rPh>
    <rPh sb="25" eb="27">
      <t>ジッセキ</t>
    </rPh>
    <rPh sb="27" eb="28">
      <t>ガク</t>
    </rPh>
    <rPh sb="29" eb="31">
      <t>カショウ</t>
    </rPh>
    <phoneticPr fontId="5"/>
  </si>
  <si>
    <t>共通仮設費（積上げ）</t>
    <rPh sb="0" eb="2">
      <t>キョウツウ</t>
    </rPh>
    <rPh sb="2" eb="5">
      <t>カセツヒ</t>
    </rPh>
    <rPh sb="6" eb="8">
      <t>ツミア</t>
    </rPh>
    <phoneticPr fontId="5"/>
  </si>
  <si>
    <r>
      <t>発注ファイル及び元請ファイルの共通仮設費（積上げ）が</t>
    </r>
    <r>
      <rPr>
        <b/>
        <sz val="11"/>
        <rFont val="ＭＳ Ｐゴシック"/>
        <family val="3"/>
        <charset val="128"/>
      </rPr>
      <t>未入力</t>
    </r>
    <r>
      <rPr>
        <sz val="11"/>
        <rFont val="ＭＳ Ｐゴシック"/>
        <family val="3"/>
        <charset val="128"/>
      </rPr>
      <t/>
    </r>
    <rPh sb="15" eb="20">
      <t>キョウツウカセツヒ</t>
    </rPh>
    <rPh sb="21" eb="23">
      <t>ツミア</t>
    </rPh>
    <phoneticPr fontId="5"/>
  </si>
  <si>
    <t>共通仮設費（積上げ）を入力して下さい</t>
    <rPh sb="0" eb="5">
      <t>キョウツウカセツヒ</t>
    </rPh>
    <rPh sb="6" eb="8">
      <t>ツミア</t>
    </rPh>
    <phoneticPr fontId="5"/>
  </si>
  <si>
    <r>
      <t>発注ファイルの共通仮設費（積上げ）が</t>
    </r>
    <r>
      <rPr>
        <b/>
        <sz val="11"/>
        <rFont val="ＭＳ Ｐゴシック"/>
        <family val="3"/>
        <charset val="128"/>
      </rPr>
      <t>未入力</t>
    </r>
    <r>
      <rPr>
        <sz val="11"/>
        <rFont val="ＭＳ Ｐゴシック"/>
        <family val="3"/>
        <charset val="128"/>
      </rPr>
      <t/>
    </r>
    <rPh sb="7" eb="12">
      <t>キョウツウカセツヒ</t>
    </rPh>
    <rPh sb="13" eb="15">
      <t>ツミア</t>
    </rPh>
    <phoneticPr fontId="5"/>
  </si>
  <si>
    <t>１．ｼｰﾄ上の表示</t>
    <phoneticPr fontId="5"/>
  </si>
  <si>
    <t>※</t>
    <phoneticPr fontId="5"/>
  </si>
  <si>
    <t>：</t>
    <phoneticPr fontId="5"/>
  </si>
  <si>
    <t>入力箇所を表しています。</t>
    <phoneticPr fontId="5"/>
  </si>
  <si>
    <t>Ⅰ 本工事用地の取得時において、立木の補償等を行いましたか。</t>
    <phoneticPr fontId="5"/>
  </si>
  <si>
    <t>入力金額</t>
    <rPh sb="0" eb="2">
      <t>ニュウリョク</t>
    </rPh>
    <rPh sb="2" eb="4">
      <t>キンガク</t>
    </rPh>
    <phoneticPr fontId="5"/>
  </si>
  <si>
    <t>　（１）共通仮設費</t>
    <rPh sb="4" eb="6">
      <t>キョウツウ</t>
    </rPh>
    <rPh sb="6" eb="9">
      <t>カセツヒ</t>
    </rPh>
    <phoneticPr fontId="5"/>
  </si>
  <si>
    <t>　　１）共通仮設費（積上げ）</t>
    <rPh sb="4" eb="6">
      <t>キョウツウ</t>
    </rPh>
    <rPh sb="6" eb="9">
      <t>カセツヒ</t>
    </rPh>
    <rPh sb="10" eb="12">
      <t>ツミア</t>
    </rPh>
    <phoneticPr fontId="5"/>
  </si>
  <si>
    <t>　（２）補償費</t>
    <rPh sb="4" eb="7">
      <t>ホショウヒ</t>
    </rPh>
    <phoneticPr fontId="5"/>
  </si>
  <si>
    <t>鋼橋等工場製作費
（機器単体費）</t>
    <rPh sb="10" eb="12">
      <t>キキ</t>
    </rPh>
    <rPh sb="12" eb="14">
      <t>タンタイ</t>
    </rPh>
    <rPh sb="14" eb="15">
      <t>ヒ</t>
    </rPh>
    <phoneticPr fontId="5"/>
  </si>
  <si>
    <t>要確認89</t>
    <phoneticPr fontId="5"/>
  </si>
  <si>
    <t>その他の内容を具体的にお書き下さい。</t>
  </si>
  <si>
    <t>⑤</t>
  </si>
  <si>
    <t>設定休日数</t>
  </si>
  <si>
    <t>⑥</t>
  </si>
  <si>
    <t>休日の内訳</t>
  </si>
  <si>
    <t>日）</t>
  </si>
  <si>
    <t>c.</t>
  </si>
  <si>
    <t>d.</t>
  </si>
  <si>
    <t>e.</t>
  </si>
  <si>
    <t>f.</t>
  </si>
  <si>
    <t>全面中止日数</t>
  </si>
  <si>
    <t>部分中止日数</t>
  </si>
  <si>
    <t>施工環境</t>
    <rPh sb="0" eb="2">
      <t>セコウ</t>
    </rPh>
    <rPh sb="2" eb="4">
      <t>カンキョウ</t>
    </rPh>
    <phoneticPr fontId="5"/>
  </si>
  <si>
    <t>その他</t>
    <rPh sb="2" eb="3">
      <t>タ</t>
    </rPh>
    <phoneticPr fontId="4"/>
  </si>
  <si>
    <t>施工箇所が複数ある。</t>
    <rPh sb="0" eb="2">
      <t>セコウ</t>
    </rPh>
    <rPh sb="2" eb="4">
      <t>カショ</t>
    </rPh>
    <rPh sb="5" eb="7">
      <t>フクスウ</t>
    </rPh>
    <phoneticPr fontId="5"/>
  </si>
  <si>
    <t>うち、施工箇所が市町村をまたぎ複数ある工事箇所</t>
    <rPh sb="3" eb="5">
      <t>セコウ</t>
    </rPh>
    <rPh sb="5" eb="7">
      <t>カショ</t>
    </rPh>
    <rPh sb="8" eb="11">
      <t>シチョウソン</t>
    </rPh>
    <rPh sb="15" eb="17">
      <t>フクスウ</t>
    </rPh>
    <rPh sb="19" eb="21">
      <t>コウジ</t>
    </rPh>
    <rPh sb="21" eb="23">
      <t>カショ</t>
    </rPh>
    <phoneticPr fontId="6"/>
  </si>
  <si>
    <r>
      <t>元請ファイルの材料費が</t>
    </r>
    <r>
      <rPr>
        <b/>
        <sz val="11"/>
        <rFont val="ＭＳ Ｐゴシック"/>
        <family val="3"/>
        <charset val="128"/>
      </rPr>
      <t>未入力</t>
    </r>
    <r>
      <rPr>
        <sz val="11"/>
        <rFont val="ＭＳ Ｐゴシック"/>
        <family val="3"/>
        <charset val="128"/>
      </rPr>
      <t/>
    </r>
    <rPh sb="0" eb="2">
      <t>モトウケ</t>
    </rPh>
    <rPh sb="7" eb="9">
      <t>ザイリョウ</t>
    </rPh>
    <phoneticPr fontId="5"/>
  </si>
  <si>
    <r>
      <t>発注ファイルの材料費が</t>
    </r>
    <r>
      <rPr>
        <b/>
        <sz val="10"/>
        <rFont val="ＭＳ Ｐゴシック"/>
        <family val="3"/>
        <charset val="128"/>
      </rPr>
      <t>「０」</t>
    </r>
    <phoneticPr fontId="5"/>
  </si>
  <si>
    <r>
      <t>元請ファイルの材料費が</t>
    </r>
    <r>
      <rPr>
        <b/>
        <sz val="10"/>
        <rFont val="ＭＳ Ｐゴシック"/>
        <family val="3"/>
        <charset val="128"/>
      </rPr>
      <t>「０」</t>
    </r>
    <rPh sb="0" eb="2">
      <t>モトウケ</t>
    </rPh>
    <phoneticPr fontId="5"/>
  </si>
  <si>
    <t>ＴＳ・ＧＮＳＳを用いた締固め管理</t>
  </si>
  <si>
    <t>２ＤMＧ（バックホウ）</t>
  </si>
  <si>
    <t>２ＤMＧ（ブルドーザ）</t>
  </si>
  <si>
    <t>情報化施工の種別</t>
    <rPh sb="0" eb="3">
      <t>ジョウホウカ</t>
    </rPh>
    <rPh sb="3" eb="5">
      <t>セコウ</t>
    </rPh>
    <rPh sb="6" eb="8">
      <t>シュベツ</t>
    </rPh>
    <phoneticPr fontId="5"/>
  </si>
  <si>
    <t>種別</t>
    <rPh sb="0" eb="2">
      <t>シュベツ</t>
    </rPh>
    <phoneticPr fontId="5"/>
  </si>
  <si>
    <t>※直接工事費には含まない</t>
    <rPh sb="1" eb="3">
      <t>チョクセツ</t>
    </rPh>
    <rPh sb="3" eb="6">
      <t>コウジヒ</t>
    </rPh>
    <rPh sb="8" eb="9">
      <t>フク</t>
    </rPh>
    <phoneticPr fontId="4"/>
  </si>
  <si>
    <t>積雪寒冷地であった。</t>
    <phoneticPr fontId="5"/>
  </si>
  <si>
    <t>氏名</t>
  </si>
  <si>
    <t>役職名</t>
  </si>
  <si>
    <t>共通仮設費　（　積上げ分　）</t>
    <rPh sb="8" eb="10">
      <t>ツミア</t>
    </rPh>
    <rPh sb="11" eb="12">
      <t>ブン</t>
    </rPh>
    <phoneticPr fontId="5"/>
  </si>
  <si>
    <t>１)</t>
    <phoneticPr fontId="5"/>
  </si>
  <si>
    <t>イ</t>
    <phoneticPr fontId="4"/>
  </si>
  <si>
    <t>ハ</t>
    <phoneticPr fontId="5"/>
  </si>
  <si>
    <t>事業損失防止施設費</t>
    <phoneticPr fontId="5"/>
  </si>
  <si>
    <t>(２)</t>
    <phoneticPr fontId="5"/>
  </si>
  <si>
    <r>
      <t>1.直接工事費や間接工事費で二重計上はないか？
2.元請と下請で二重計上はないか？
3.直接工事費や間接工事費に円単位での誤入力はないか？
4.一般管理費等の項目は、工事価格から工事原価を差し引いた金額です。</t>
    </r>
    <r>
      <rPr>
        <b/>
        <sz val="10"/>
        <rFont val="ＭＳ Ｐゴシック"/>
        <family val="3"/>
        <charset val="128"/>
      </rPr>
      <t>二重計上等があると一般管理費等の金額が小さくなります。計上間違いがないか確認して下さい</t>
    </r>
    <rPh sb="26" eb="28">
      <t>モトウケ</t>
    </rPh>
    <rPh sb="29" eb="31">
      <t>シタウケ</t>
    </rPh>
    <rPh sb="32" eb="34">
      <t>ニジュウ</t>
    </rPh>
    <rPh sb="34" eb="36">
      <t>ケイジョウ</t>
    </rPh>
    <rPh sb="44" eb="46">
      <t>チョクセツ</t>
    </rPh>
    <rPh sb="46" eb="49">
      <t>コウジヒ</t>
    </rPh>
    <rPh sb="50" eb="52">
      <t>カンセツ</t>
    </rPh>
    <rPh sb="52" eb="55">
      <t>コウジヒ</t>
    </rPh>
    <rPh sb="56" eb="57">
      <t>エン</t>
    </rPh>
    <rPh sb="57" eb="59">
      <t>タンイ</t>
    </rPh>
    <rPh sb="61" eb="64">
      <t>ゴニュウリョク</t>
    </rPh>
    <rPh sb="104" eb="106">
      <t>ニジュウ</t>
    </rPh>
    <rPh sb="106" eb="108">
      <t>ケイジョウ</t>
    </rPh>
    <rPh sb="123" eb="124">
      <t>チイ</t>
    </rPh>
    <rPh sb="133" eb="135">
      <t>マチガ</t>
    </rPh>
    <phoneticPr fontId="5"/>
  </si>
  <si>
    <t>1.金額は「千円」単位での入力になっているか？
2.発注ファイルの入力金額は正しいか？
3.元請ファイルの入力金額は正しいか？
　①他費目（交通誘導員、共通仮設費や現場管理費の賃金など）との二重計上で金額過大になっていないか？
　②現場管理者（現場代理人、監理技術者など）の賃金を誤計上し、金額過大になっていないか？</t>
    <rPh sb="100" eb="102">
      <t>キンガク</t>
    </rPh>
    <rPh sb="102" eb="104">
      <t>カダイ</t>
    </rPh>
    <rPh sb="116" eb="118">
      <t>ゲンバ</t>
    </rPh>
    <rPh sb="118" eb="121">
      <t>カンリシャ</t>
    </rPh>
    <rPh sb="122" eb="124">
      <t>ゲンバ</t>
    </rPh>
    <rPh sb="124" eb="127">
      <t>ダイリニン</t>
    </rPh>
    <rPh sb="128" eb="130">
      <t>カンリ</t>
    </rPh>
    <rPh sb="130" eb="133">
      <t>ギジュツシャ</t>
    </rPh>
    <rPh sb="137" eb="139">
      <t>チンギン</t>
    </rPh>
    <rPh sb="140" eb="141">
      <t>ゴ</t>
    </rPh>
    <rPh sb="141" eb="143">
      <t>ケイジョウ</t>
    </rPh>
    <rPh sb="145" eb="147">
      <t>キンガク</t>
    </rPh>
    <rPh sb="147" eb="149">
      <t>カダイ</t>
    </rPh>
    <phoneticPr fontId="5"/>
  </si>
  <si>
    <r>
      <t>元請ファイルの共通仮設費（積上げ）が</t>
    </r>
    <r>
      <rPr>
        <b/>
        <sz val="11"/>
        <rFont val="ＭＳ Ｐゴシック"/>
        <family val="3"/>
        <charset val="128"/>
      </rPr>
      <t>未入力</t>
    </r>
    <r>
      <rPr>
        <sz val="11"/>
        <rFont val="ＭＳ Ｐゴシック"/>
        <family val="3"/>
        <charset val="128"/>
      </rPr>
      <t/>
    </r>
    <rPh sb="7" eb="12">
      <t>キョウツウカセツヒ</t>
    </rPh>
    <rPh sb="13" eb="15">
      <t>ツミア</t>
    </rPh>
    <phoneticPr fontId="5"/>
  </si>
  <si>
    <t>（この内日曜休・土曜休・祝日休の日数</t>
    <phoneticPr fontId="4"/>
  </si>
  <si>
    <t>ｺﾞｰﾙﾃﾞﾝｳｲｰｸの設定休日数</t>
    <phoneticPr fontId="4"/>
  </si>
  <si>
    <t>夏休みの設定休日数</t>
    <phoneticPr fontId="4"/>
  </si>
  <si>
    <t>（具体的内容</t>
    <phoneticPr fontId="4"/>
  </si>
  <si>
    <t>Ⅲ</t>
    <phoneticPr fontId="5"/>
  </si>
  <si>
    <r>
      <t>発注ファイル及び元請ファイルの請負金額が</t>
    </r>
    <r>
      <rPr>
        <b/>
        <sz val="11"/>
        <rFont val="ＭＳ Ｐゴシック"/>
        <family val="3"/>
        <charset val="128"/>
      </rPr>
      <t>未入力</t>
    </r>
    <phoneticPr fontId="5"/>
  </si>
  <si>
    <t>請負金額を入力して下さい</t>
    <rPh sb="9" eb="10">
      <t>クダ</t>
    </rPh>
    <phoneticPr fontId="5"/>
  </si>
  <si>
    <r>
      <t>発注ファイルの請負金額が</t>
    </r>
    <r>
      <rPr>
        <b/>
        <sz val="10"/>
        <rFont val="ＭＳ Ｐゴシック"/>
        <family val="3"/>
        <charset val="128"/>
      </rPr>
      <t>未入力</t>
    </r>
    <phoneticPr fontId="5"/>
  </si>
  <si>
    <r>
      <t>元請ファイルの請負金額が</t>
    </r>
    <r>
      <rPr>
        <b/>
        <sz val="10"/>
        <rFont val="ＭＳ Ｐゴシック"/>
        <family val="3"/>
        <charset val="128"/>
      </rPr>
      <t>未入力</t>
    </r>
    <rPh sb="0" eb="2">
      <t>モトウケ</t>
    </rPh>
    <phoneticPr fontId="5"/>
  </si>
  <si>
    <r>
      <t>発注ファイルと元請ファイルの請負金額が</t>
    </r>
    <r>
      <rPr>
        <b/>
        <sz val="11"/>
        <rFont val="ＭＳ Ｐゴシック"/>
        <family val="3"/>
        <charset val="128"/>
      </rPr>
      <t>不一致</t>
    </r>
    <r>
      <rPr>
        <sz val="11"/>
        <rFont val="ＭＳ Ｐゴシック"/>
        <family val="3"/>
        <charset val="128"/>
      </rPr>
      <t/>
    </r>
    <rPh sb="19" eb="22">
      <t>フイッチ</t>
    </rPh>
    <phoneticPr fontId="5"/>
  </si>
  <si>
    <t>施工地域</t>
    <rPh sb="0" eb="2">
      <t>セコウ</t>
    </rPh>
    <rPh sb="2" eb="4">
      <t>チイキ</t>
    </rPh>
    <phoneticPr fontId="5"/>
  </si>
  <si>
    <t>件</t>
    <rPh sb="0" eb="1">
      <t>ケン</t>
    </rPh>
    <phoneticPr fontId="5"/>
  </si>
  <si>
    <t>一般事項</t>
    <phoneticPr fontId="5"/>
  </si>
  <si>
    <t>工事費</t>
    <phoneticPr fontId="5"/>
  </si>
  <si>
    <t>工期</t>
    <phoneticPr fontId="5"/>
  </si>
  <si>
    <t>施工環境</t>
    <phoneticPr fontId="5"/>
  </si>
  <si>
    <t>（地権者が複数等、補償方式も複数ある場合、複数回答可）</t>
    <phoneticPr fontId="5"/>
  </si>
  <si>
    <r>
      <t>1.直接工事費や間接工事費で二重計上はないか？
2.直接工事費や間接工事費に円単位での誤入力はないか？
3.外注一般管理費等の項目は、工事価格から工事原価を差し引いた金額です。</t>
    </r>
    <r>
      <rPr>
        <b/>
        <sz val="10"/>
        <rFont val="ＭＳ Ｐゴシック"/>
        <family val="3"/>
        <charset val="128"/>
      </rPr>
      <t>二重計上等があると一般管理費等の金額が小さくなります。計上間違いがないか確認</t>
    </r>
    <r>
      <rPr>
        <sz val="10"/>
        <rFont val="ＭＳ Ｐゴシック"/>
        <family val="3"/>
        <charset val="128"/>
      </rPr>
      <t>して下さい</t>
    </r>
    <rPh sb="26" eb="28">
      <t>チョクセツ</t>
    </rPh>
    <rPh sb="28" eb="31">
      <t>コウジヒ</t>
    </rPh>
    <rPh sb="32" eb="34">
      <t>カンセツ</t>
    </rPh>
    <rPh sb="34" eb="37">
      <t>コウジヒ</t>
    </rPh>
    <rPh sb="38" eb="39">
      <t>エン</t>
    </rPh>
    <rPh sb="39" eb="41">
      <t>タンイ</t>
    </rPh>
    <rPh sb="43" eb="46">
      <t>ゴニュウリョク</t>
    </rPh>
    <rPh sb="54" eb="56">
      <t>ガイチュウ</t>
    </rPh>
    <rPh sb="88" eb="90">
      <t>ニジュウ</t>
    </rPh>
    <rPh sb="90" eb="92">
      <t>ケイジョウ</t>
    </rPh>
    <rPh sb="107" eb="108">
      <t>チイ</t>
    </rPh>
    <rPh sb="117" eb="119">
      <t>マチガ</t>
    </rPh>
    <phoneticPr fontId="5"/>
  </si>
  <si>
    <r>
      <t>1.直接工事費及び間接工事費等に計上漏れはないか？
2.二次下請以降の費用が計上漏れとなっていないか？
3.外注一般管理費等の項目は、工事価格から工事原価を差し引いた金額です。</t>
    </r>
    <r>
      <rPr>
        <b/>
        <sz val="10"/>
        <rFont val="ＭＳ Ｐゴシック"/>
        <family val="3"/>
        <charset val="128"/>
      </rPr>
      <t>直接工事費や間接工事費等に計上漏れがあると一般管理費等の金額が大きくなります。計上漏れがないか確認</t>
    </r>
    <r>
      <rPr>
        <sz val="10"/>
        <rFont val="ＭＳ Ｐゴシック"/>
        <family val="3"/>
        <charset val="128"/>
      </rPr>
      <t>して下さい</t>
    </r>
    <rPh sb="28" eb="30">
      <t>ニジ</t>
    </rPh>
    <rPh sb="30" eb="32">
      <t>シタウケ</t>
    </rPh>
    <rPh sb="32" eb="34">
      <t>イコウ</t>
    </rPh>
    <rPh sb="35" eb="37">
      <t>ヒヨウ</t>
    </rPh>
    <rPh sb="38" eb="40">
      <t>ケイジョウ</t>
    </rPh>
    <rPh sb="40" eb="41">
      <t>モ</t>
    </rPh>
    <rPh sb="54" eb="56">
      <t>ガイチュウ</t>
    </rPh>
    <phoneticPr fontId="5"/>
  </si>
  <si>
    <r>
      <t>『最終積算金額』</t>
    </r>
    <r>
      <rPr>
        <sz val="11"/>
        <rFont val="ＭＳ Ｐゴシック"/>
        <family val="3"/>
        <charset val="128"/>
      </rPr>
      <t>を入力して下さい。
注）消費税抜きで記入してください。</t>
    </r>
    <rPh sb="9" eb="11">
      <t>ニュウリョク</t>
    </rPh>
    <rPh sb="13" eb="14">
      <t>クダ</t>
    </rPh>
    <rPh sb="18" eb="19">
      <t>チュウ</t>
    </rPh>
    <rPh sb="20" eb="22">
      <t>ショウヒ</t>
    </rPh>
    <rPh sb="22" eb="23">
      <t>ゼイ</t>
    </rPh>
    <rPh sb="23" eb="24">
      <t>ヌ</t>
    </rPh>
    <rPh sb="26" eb="28">
      <t>キニュウ</t>
    </rPh>
    <phoneticPr fontId="5"/>
  </si>
  <si>
    <t>当初落札率
（当初工事価格/当初積算工事価格）</t>
    <rPh sb="0" eb="2">
      <t>トウショ</t>
    </rPh>
    <rPh sb="2" eb="4">
      <t>ラクサツ</t>
    </rPh>
    <rPh sb="4" eb="5">
      <t>リツ</t>
    </rPh>
    <rPh sb="14" eb="16">
      <t>トウショ</t>
    </rPh>
    <rPh sb="16" eb="18">
      <t>セキサン</t>
    </rPh>
    <rPh sb="18" eb="20">
      <t>コウジ</t>
    </rPh>
    <rPh sb="20" eb="22">
      <t>カカク</t>
    </rPh>
    <phoneticPr fontId="5"/>
  </si>
  <si>
    <t>チェックシートのチェック結果欄に「要確認」が表示される場合は、下記の内容を参考に受発注ファイルの入力金額を確認してください。</t>
    <rPh sb="12" eb="14">
      <t>ケッカ</t>
    </rPh>
    <rPh sb="14" eb="15">
      <t>ラン</t>
    </rPh>
    <rPh sb="17" eb="20">
      <t>ヨウカクニン</t>
    </rPh>
    <phoneticPr fontId="5"/>
  </si>
  <si>
    <t>要確認番号</t>
    <rPh sb="0" eb="1">
      <t>ヨウ</t>
    </rPh>
    <rPh sb="1" eb="3">
      <t>カクニン</t>
    </rPh>
    <rPh sb="3" eb="5">
      <t>バンゴウ</t>
    </rPh>
    <phoneticPr fontId="5"/>
  </si>
  <si>
    <r>
      <t>受発注で鋼橋等工場製作費</t>
    </r>
    <r>
      <rPr>
        <sz val="11"/>
        <rFont val="ＭＳ Ｐゴシック"/>
        <family val="3"/>
        <charset val="128"/>
      </rPr>
      <t xml:space="preserve">の金額差が大きい
</t>
    </r>
    <r>
      <rPr>
        <b/>
        <sz val="11"/>
        <rFont val="ＭＳ Ｐゴシック"/>
        <family val="3"/>
        <charset val="128"/>
      </rPr>
      <t>（元請ファイル実績額の過小）</t>
    </r>
    <rPh sb="0" eb="3">
      <t>ジュハッチュウ</t>
    </rPh>
    <rPh sb="4" eb="5">
      <t>コウ</t>
    </rPh>
    <rPh sb="5" eb="7">
      <t>バシナド</t>
    </rPh>
    <rPh sb="7" eb="9">
      <t>コウジョウ</t>
    </rPh>
    <rPh sb="9" eb="12">
      <t>セイサクヒ</t>
    </rPh>
    <rPh sb="13" eb="15">
      <t>キンガク</t>
    </rPh>
    <rPh sb="15" eb="16">
      <t>サ</t>
    </rPh>
    <rPh sb="17" eb="18">
      <t>オオ</t>
    </rPh>
    <rPh sb="22" eb="24">
      <t>モトウケ</t>
    </rPh>
    <rPh sb="28" eb="30">
      <t>ジッセキ</t>
    </rPh>
    <rPh sb="30" eb="31">
      <t>ガク</t>
    </rPh>
    <rPh sb="32" eb="34">
      <t>カショウ</t>
    </rPh>
    <phoneticPr fontId="5"/>
  </si>
  <si>
    <t>1.鋼橋等工場製作費を入力して下さい
2.費用が発生しない場合は0を入力して下さい</t>
    <rPh sb="2" eb="4">
      <t>コウキョウ</t>
    </rPh>
    <rPh sb="4" eb="5">
      <t>トウ</t>
    </rPh>
    <rPh sb="5" eb="7">
      <t>コウジョウ</t>
    </rPh>
    <rPh sb="7" eb="10">
      <t>セイサクヒ</t>
    </rPh>
    <rPh sb="24" eb="26">
      <t>ハッセイ</t>
    </rPh>
    <phoneticPr fontId="5"/>
  </si>
  <si>
    <t>発注者側の積算品目に相当する実績額を元請ファイルに入力するよう元請担当者に伝えて下さい
（元請ファイルでは鋼橋等工場製作費分を直接工事費の材料費に誤計上していることが考えられます）</t>
    <rPh sb="37" eb="38">
      <t>ツタ</t>
    </rPh>
    <rPh sb="40" eb="41">
      <t>クダ</t>
    </rPh>
    <rPh sb="45" eb="47">
      <t>モトウケ</t>
    </rPh>
    <rPh sb="73" eb="74">
      <t>ゴ</t>
    </rPh>
    <rPh sb="83" eb="84">
      <t>カンガ</t>
    </rPh>
    <phoneticPr fontId="5"/>
  </si>
  <si>
    <t>金額(千円)</t>
    <rPh sb="0" eb="2">
      <t>キンガク</t>
    </rPh>
    <rPh sb="3" eb="5">
      <t>センエン</t>
    </rPh>
    <phoneticPr fontId="5"/>
  </si>
  <si>
    <t>Ｔ</t>
    <phoneticPr fontId="4"/>
  </si>
  <si>
    <t>詳細は、マニュアルを参照してください。</t>
    <rPh sb="0" eb="2">
      <t>ショウサイ</t>
    </rPh>
    <rPh sb="10" eb="12">
      <t>サンショウ</t>
    </rPh>
    <phoneticPr fontId="5"/>
  </si>
  <si>
    <r>
      <t>受発注で材料費の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7">
      <t>ザイリョウヒ</t>
    </rPh>
    <rPh sb="8" eb="10">
      <t>キンガク</t>
    </rPh>
    <rPh sb="10" eb="11">
      <t>サ</t>
    </rPh>
    <rPh sb="12" eb="13">
      <t>オオ</t>
    </rPh>
    <rPh sb="17" eb="19">
      <t>モトウケ</t>
    </rPh>
    <rPh sb="23" eb="25">
      <t>ジッセキ</t>
    </rPh>
    <rPh sb="25" eb="26">
      <t>ガク</t>
    </rPh>
    <rPh sb="27" eb="29">
      <t>カダイ</t>
    </rPh>
    <phoneticPr fontId="5"/>
  </si>
  <si>
    <t>外注一般管理費等が小さい（マイナス）</t>
    <rPh sb="0" eb="2">
      <t>ガイチュウ</t>
    </rPh>
    <rPh sb="2" eb="4">
      <t>イッパン</t>
    </rPh>
    <rPh sb="4" eb="7">
      <t>カンリヒ</t>
    </rPh>
    <rPh sb="7" eb="8">
      <t>トウ</t>
    </rPh>
    <rPh sb="9" eb="10">
      <t>チイ</t>
    </rPh>
    <phoneticPr fontId="5"/>
  </si>
  <si>
    <t>チェック結果</t>
    <rPh sb="4" eb="6">
      <t>ケッカ</t>
    </rPh>
    <phoneticPr fontId="5"/>
  </si>
  <si>
    <t>下請会社名</t>
    <rPh sb="0" eb="2">
      <t>シタウケ</t>
    </rPh>
    <rPh sb="2" eb="4">
      <t>カイシャ</t>
    </rPh>
    <rPh sb="4" eb="5">
      <t>メイ</t>
    </rPh>
    <phoneticPr fontId="5"/>
  </si>
  <si>
    <t>1.支給材料費を入力して下さい
2.費用が発生しない場合は０を入力して下さい</t>
    <rPh sb="21" eb="23">
      <t>ハッセイ</t>
    </rPh>
    <phoneticPr fontId="5"/>
  </si>
  <si>
    <t>労務費</t>
    <rPh sb="0" eb="3">
      <t>ロウムヒ</t>
    </rPh>
    <phoneticPr fontId="5"/>
  </si>
  <si>
    <r>
      <t>発注ファイル及び元請ファイルの労務費が</t>
    </r>
    <r>
      <rPr>
        <b/>
        <sz val="11"/>
        <rFont val="ＭＳ Ｐゴシック"/>
        <family val="3"/>
        <charset val="128"/>
      </rPr>
      <t>未入力</t>
    </r>
    <r>
      <rPr>
        <sz val="11"/>
        <rFont val="ＭＳ Ｐゴシック"/>
        <family val="3"/>
        <charset val="128"/>
      </rPr>
      <t/>
    </r>
    <rPh sb="15" eb="17">
      <t>ロウム</t>
    </rPh>
    <phoneticPr fontId="5"/>
  </si>
  <si>
    <t>事務所名</t>
    <rPh sb="0" eb="3">
      <t>ジムショ</t>
    </rPh>
    <rPh sb="3" eb="4">
      <t>メイ</t>
    </rPh>
    <phoneticPr fontId="5"/>
  </si>
  <si>
    <t>積算に用いた冬期補正率</t>
    <rPh sb="0" eb="2">
      <t>セキサン</t>
    </rPh>
    <rPh sb="3" eb="4">
      <t>モチ</t>
    </rPh>
    <rPh sb="6" eb="8">
      <t>トウキ</t>
    </rPh>
    <rPh sb="8" eb="10">
      <t>ホセイ</t>
    </rPh>
    <rPh sb="10" eb="11">
      <t>リツ</t>
    </rPh>
    <phoneticPr fontId="5"/>
  </si>
  <si>
    <t>管理費区分</t>
    <rPh sb="0" eb="3">
      <t>カンリヒ</t>
    </rPh>
    <rPh sb="3" eb="5">
      <t>クブン</t>
    </rPh>
    <phoneticPr fontId="4"/>
  </si>
  <si>
    <t>　③ 受発注者の入力金額対比</t>
    <rPh sb="3" eb="6">
      <t>ジュハッチュウ</t>
    </rPh>
    <rPh sb="6" eb="7">
      <t>シャ</t>
    </rPh>
    <rPh sb="8" eb="10">
      <t>ニュウリョク</t>
    </rPh>
    <rPh sb="10" eb="12">
      <t>キンガク</t>
    </rPh>
    <rPh sb="12" eb="14">
      <t>タイヒ</t>
    </rPh>
    <phoneticPr fontId="5"/>
  </si>
  <si>
    <t>貨物自動車等による運搬</t>
    <phoneticPr fontId="5"/>
  </si>
  <si>
    <t>-</t>
    <phoneticPr fontId="5"/>
  </si>
  <si>
    <t>建設機械Ⅰ</t>
    <rPh sb="0" eb="2">
      <t>ケンセツ</t>
    </rPh>
    <rPh sb="2" eb="4">
      <t>キカイ</t>
    </rPh>
    <phoneticPr fontId="5"/>
  </si>
  <si>
    <t>建設機械Ⅱ</t>
    <phoneticPr fontId="5"/>
  </si>
  <si>
    <t>NO</t>
  </si>
  <si>
    <t>落札率</t>
    <rPh sb="0" eb="2">
      <t>ラクサツ</t>
    </rPh>
    <rPh sb="2" eb="3">
      <t>リツ</t>
    </rPh>
    <phoneticPr fontId="5"/>
  </si>
  <si>
    <t>発注者側記入者</t>
    <phoneticPr fontId="4"/>
  </si>
  <si>
    <t>地域特性コード</t>
    <phoneticPr fontId="4"/>
  </si>
  <si>
    <t>（例1234-1111-2222)</t>
    <rPh sb="1" eb="2">
      <t>レイ</t>
    </rPh>
    <phoneticPr fontId="4"/>
  </si>
  <si>
    <t>（例1234-1111-3333)</t>
    <rPh sb="1" eb="2">
      <t>レイ</t>
    </rPh>
    <phoneticPr fontId="4"/>
  </si>
  <si>
    <r>
      <t>受発注で現場管理費の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ゲンバ</t>
    </rPh>
    <rPh sb="6" eb="9">
      <t>カンリヒ</t>
    </rPh>
    <rPh sb="10" eb="12">
      <t>キンガク</t>
    </rPh>
    <rPh sb="12" eb="13">
      <t>サ</t>
    </rPh>
    <rPh sb="14" eb="15">
      <t>オオ</t>
    </rPh>
    <rPh sb="19" eb="21">
      <t>モトウケ</t>
    </rPh>
    <rPh sb="25" eb="27">
      <t>ジッセキ</t>
    </rPh>
    <rPh sb="27" eb="28">
      <t>ガク</t>
    </rPh>
    <rPh sb="29" eb="31">
      <t>カショウ</t>
    </rPh>
    <phoneticPr fontId="5"/>
  </si>
  <si>
    <t>1.金額は「千円」単位での入力になっているか？
2.発注ファイルの入力金額は正しいか？
3.元請ファイルの入力金額は正しいか？
　①「社員等従業員給料手当」や「法定福利費」などに計上漏れはないか？</t>
    <phoneticPr fontId="5"/>
  </si>
  <si>
    <t>農林建築工事</t>
    <rPh sb="0" eb="2">
      <t>ノウリン</t>
    </rPh>
    <rPh sb="2" eb="4">
      <t>ケンチク</t>
    </rPh>
    <rPh sb="4" eb="6">
      <t>コウジ</t>
    </rPh>
    <phoneticPr fontId="5"/>
  </si>
  <si>
    <t>Ⅴ</t>
    <phoneticPr fontId="5"/>
  </si>
  <si>
    <t>(単位：千円)</t>
    <phoneticPr fontId="4"/>
  </si>
  <si>
    <t>(単位：千円)</t>
    <phoneticPr fontId="4"/>
  </si>
  <si>
    <t>労務費を入力して下さい</t>
    <rPh sb="0" eb="2">
      <t>ロウム</t>
    </rPh>
    <phoneticPr fontId="5"/>
  </si>
  <si>
    <r>
      <t>発注ファイルの労務費が</t>
    </r>
    <r>
      <rPr>
        <b/>
        <sz val="11"/>
        <rFont val="ＭＳ Ｐゴシック"/>
        <family val="3"/>
        <charset val="128"/>
      </rPr>
      <t>未入力</t>
    </r>
    <r>
      <rPr>
        <sz val="11"/>
        <rFont val="ＭＳ Ｐゴシック"/>
        <family val="3"/>
        <charset val="128"/>
      </rPr>
      <t/>
    </r>
    <rPh sb="7" eb="9">
      <t>ロウム</t>
    </rPh>
    <phoneticPr fontId="5"/>
  </si>
  <si>
    <r>
      <t>元請ファイルの労務費が</t>
    </r>
    <r>
      <rPr>
        <b/>
        <sz val="11"/>
        <rFont val="ＭＳ Ｐゴシック"/>
        <family val="3"/>
        <charset val="128"/>
      </rPr>
      <t>未入力</t>
    </r>
    <r>
      <rPr>
        <sz val="11"/>
        <rFont val="ＭＳ Ｐゴシック"/>
        <family val="3"/>
        <charset val="128"/>
      </rPr>
      <t/>
    </r>
    <rPh sb="7" eb="9">
      <t>ロウム</t>
    </rPh>
    <phoneticPr fontId="5"/>
  </si>
  <si>
    <r>
      <t>発注ファイルの労務費が</t>
    </r>
    <r>
      <rPr>
        <b/>
        <sz val="11"/>
        <rFont val="ＭＳ Ｐゴシック"/>
        <family val="3"/>
        <charset val="128"/>
      </rPr>
      <t>「0」</t>
    </r>
    <rPh sb="7" eb="9">
      <t>ロウム</t>
    </rPh>
    <phoneticPr fontId="5"/>
  </si>
  <si>
    <r>
      <t>元請ファイルの労務費が</t>
    </r>
    <r>
      <rPr>
        <b/>
        <sz val="11"/>
        <rFont val="ＭＳ Ｐゴシック"/>
        <family val="3"/>
        <charset val="128"/>
      </rPr>
      <t>「0」</t>
    </r>
    <rPh sb="7" eb="9">
      <t>ロウム</t>
    </rPh>
    <phoneticPr fontId="5"/>
  </si>
  <si>
    <r>
      <t>受発注で労務費の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7">
      <t>ロウムヒ</t>
    </rPh>
    <rPh sb="8" eb="10">
      <t>キンガク</t>
    </rPh>
    <rPh sb="10" eb="11">
      <t>サ</t>
    </rPh>
    <rPh sb="12" eb="13">
      <t>オオ</t>
    </rPh>
    <rPh sb="17" eb="19">
      <t>モトウケ</t>
    </rPh>
    <rPh sb="23" eb="25">
      <t>ジッセキ</t>
    </rPh>
    <rPh sb="25" eb="26">
      <t>ガク</t>
    </rPh>
    <rPh sb="27" eb="29">
      <t>カダイ</t>
    </rPh>
    <phoneticPr fontId="5"/>
  </si>
  <si>
    <t>1.市場単価を入力して下さい
2.費用が発生しない場合は０を入力して下さい</t>
    <rPh sb="2" eb="4">
      <t>シジョウ</t>
    </rPh>
    <rPh sb="4" eb="6">
      <t>タンカ</t>
    </rPh>
    <rPh sb="20" eb="22">
      <t>ハッセイ</t>
    </rPh>
    <phoneticPr fontId="5"/>
  </si>
  <si>
    <r>
      <t>発注ファイル及び元請ファイルの共通仮設費が</t>
    </r>
    <r>
      <rPr>
        <b/>
        <sz val="11"/>
        <rFont val="ＭＳ Ｐゴシック"/>
        <family val="3"/>
        <charset val="128"/>
      </rPr>
      <t>未入力</t>
    </r>
    <r>
      <rPr>
        <sz val="11"/>
        <rFont val="ＭＳ Ｐゴシック"/>
        <family val="3"/>
        <charset val="128"/>
      </rPr>
      <t/>
    </r>
    <rPh sb="15" eb="20">
      <t>キョウツウカセツヒ</t>
    </rPh>
    <phoneticPr fontId="5"/>
  </si>
  <si>
    <t>共通仮設費を入力して下さい</t>
    <rPh sb="0" eb="2">
      <t>キョウツウ</t>
    </rPh>
    <rPh sb="2" eb="5">
      <t>カセツヒ</t>
    </rPh>
    <phoneticPr fontId="5"/>
  </si>
  <si>
    <r>
      <t>発注ファイルの共通仮設費が</t>
    </r>
    <r>
      <rPr>
        <b/>
        <sz val="11"/>
        <rFont val="ＭＳ Ｐゴシック"/>
        <family val="3"/>
        <charset val="128"/>
      </rPr>
      <t>未入力</t>
    </r>
    <r>
      <rPr>
        <sz val="11"/>
        <rFont val="ＭＳ Ｐゴシック"/>
        <family val="3"/>
        <charset val="128"/>
      </rPr>
      <t/>
    </r>
    <rPh sb="7" eb="12">
      <t>キョウツウカセツヒ</t>
    </rPh>
    <phoneticPr fontId="5"/>
  </si>
  <si>
    <r>
      <t>技術管理費</t>
    </r>
    <r>
      <rPr>
        <b/>
        <sz val="10"/>
        <rFont val="ＭＳ Ｐゴシック"/>
        <family val="3"/>
        <charset val="128"/>
      </rPr>
      <t>（積上げ分）</t>
    </r>
    <rPh sb="0" eb="2">
      <t>ギジュツ</t>
    </rPh>
    <rPh sb="2" eb="5">
      <t>カンリヒ</t>
    </rPh>
    <rPh sb="6" eb="8">
      <t>ツミア</t>
    </rPh>
    <rPh sb="9" eb="10">
      <t>ブン</t>
    </rPh>
    <phoneticPr fontId="5"/>
  </si>
  <si>
    <t>1：補正有り</t>
    <rPh sb="2" eb="4">
      <t>ホセイ</t>
    </rPh>
    <rPh sb="4" eb="5">
      <t>ア</t>
    </rPh>
    <phoneticPr fontId="4"/>
  </si>
  <si>
    <t>一般競争入札(5.8億円以上)</t>
  </si>
  <si>
    <t xml:space="preserve">工事希望型競争入札 </t>
  </si>
  <si>
    <t>率分</t>
    <rPh sb="0" eb="1">
      <t>リツ</t>
    </rPh>
    <rPh sb="1" eb="2">
      <t>ブン</t>
    </rPh>
    <phoneticPr fontId="5"/>
  </si>
  <si>
    <t>設計書コード</t>
    <rPh sb="0" eb="3">
      <t>セッケイショ</t>
    </rPh>
    <phoneticPr fontId="5"/>
  </si>
  <si>
    <r>
      <t>元請ファイルの消費税相当額が</t>
    </r>
    <r>
      <rPr>
        <b/>
        <sz val="11"/>
        <rFont val="ＭＳ Ｐゴシック"/>
        <family val="3"/>
        <charset val="128"/>
      </rPr>
      <t>未入力</t>
    </r>
    <rPh sb="7" eb="10">
      <t>ショウヒゼイ</t>
    </rPh>
    <rPh sb="10" eb="13">
      <t>ソウトウガク</t>
    </rPh>
    <phoneticPr fontId="5"/>
  </si>
  <si>
    <t>TEL</t>
    <phoneticPr fontId="4"/>
  </si>
  <si>
    <r>
      <t>1</t>
    </r>
    <r>
      <rPr>
        <sz val="11"/>
        <rFont val="ＭＳ Ｐゴシック"/>
        <family val="3"/>
        <charset val="128"/>
      </rPr>
      <t>.最終請負金額で入力し、一致させて下さい
2.金額は「千円」単位で入力して下さい</t>
    </r>
    <rPh sb="9" eb="11">
      <t>ニュウリョク</t>
    </rPh>
    <rPh sb="13" eb="15">
      <t>イッチ</t>
    </rPh>
    <rPh sb="18" eb="19">
      <t>クダ</t>
    </rPh>
    <rPh sb="24" eb="26">
      <t>キンガク</t>
    </rPh>
    <rPh sb="28" eb="30">
      <t>センエン</t>
    </rPh>
    <rPh sb="31" eb="33">
      <t>タンイ</t>
    </rPh>
    <rPh sb="34" eb="36">
      <t>ニュウリョク</t>
    </rPh>
    <rPh sb="38" eb="39">
      <t>クダ</t>
    </rPh>
    <phoneticPr fontId="5"/>
  </si>
  <si>
    <t>消費税相当額</t>
    <phoneticPr fontId="5"/>
  </si>
  <si>
    <r>
      <t>発注ファイル及び元請ファイルの消費税相当額が</t>
    </r>
    <r>
      <rPr>
        <b/>
        <sz val="11"/>
        <rFont val="ＭＳ Ｐゴシック"/>
        <family val="3"/>
        <charset val="128"/>
      </rPr>
      <t>未入力</t>
    </r>
    <rPh sb="15" eb="18">
      <t>ショウヒゼイ</t>
    </rPh>
    <rPh sb="18" eb="21">
      <t>ソウトウガク</t>
    </rPh>
    <phoneticPr fontId="5"/>
  </si>
  <si>
    <t>消費税相当額を入力して下さい</t>
    <phoneticPr fontId="5"/>
  </si>
  <si>
    <r>
      <t>発注ファイルの消費税相当額が</t>
    </r>
    <r>
      <rPr>
        <b/>
        <sz val="11"/>
        <rFont val="ＭＳ Ｐゴシック"/>
        <family val="3"/>
        <charset val="128"/>
      </rPr>
      <t>未入力</t>
    </r>
    <rPh sb="7" eb="10">
      <t>ショウヒゼイ</t>
    </rPh>
    <rPh sb="10" eb="13">
      <t>ソウトウガク</t>
    </rPh>
    <phoneticPr fontId="5"/>
  </si>
  <si>
    <t>要確認87</t>
    <phoneticPr fontId="5"/>
  </si>
  <si>
    <t>要確認88</t>
    <phoneticPr fontId="5"/>
  </si>
  <si>
    <t>4：地　方（一般交通等の影響を受けない地区）</t>
  </si>
  <si>
    <r>
      <t>元請ファイルの機械器具等損料が</t>
    </r>
    <r>
      <rPr>
        <b/>
        <sz val="11"/>
        <rFont val="ＭＳ Ｐゴシック"/>
        <family val="3"/>
        <charset val="128"/>
      </rPr>
      <t>「0」</t>
    </r>
    <rPh sb="7" eb="9">
      <t>キカイ</t>
    </rPh>
    <rPh sb="9" eb="11">
      <t>キグ</t>
    </rPh>
    <rPh sb="11" eb="12">
      <t>トウ</t>
    </rPh>
    <rPh sb="12" eb="14">
      <t>ソンリョウ</t>
    </rPh>
    <phoneticPr fontId="5"/>
  </si>
  <si>
    <t>借上費</t>
    <phoneticPr fontId="5"/>
  </si>
  <si>
    <t>宿泊費</t>
    <phoneticPr fontId="5"/>
  </si>
  <si>
    <t>監督員詰所等</t>
    <phoneticPr fontId="5"/>
  </si>
  <si>
    <t>-</t>
    <phoneticPr fontId="5"/>
  </si>
  <si>
    <t>金額単位：千円</t>
    <phoneticPr fontId="4"/>
  </si>
  <si>
    <t>有り</t>
    <rPh sb="0" eb="1">
      <t>ア</t>
    </rPh>
    <phoneticPr fontId="4"/>
  </si>
  <si>
    <t>無し</t>
    <rPh sb="0" eb="1">
      <t>ナ</t>
    </rPh>
    <phoneticPr fontId="4"/>
  </si>
  <si>
    <t>総合評価　技術提案評価型Ｓ型（WTO以外）</t>
    <rPh sb="0" eb="2">
      <t>ソウゴウ</t>
    </rPh>
    <rPh sb="2" eb="4">
      <t>ヒョウカ</t>
    </rPh>
    <rPh sb="5" eb="7">
      <t>ギジュツ</t>
    </rPh>
    <rPh sb="7" eb="9">
      <t>テイアン</t>
    </rPh>
    <rPh sb="9" eb="12">
      <t>ヒョウカガタ</t>
    </rPh>
    <rPh sb="13" eb="14">
      <t>ガタ</t>
    </rPh>
    <rPh sb="18" eb="20">
      <t>イガイ</t>
    </rPh>
    <phoneticPr fontId="5"/>
  </si>
  <si>
    <t>総合評価　技術提案評価型Ｓ型（WTO）</t>
    <rPh sb="0" eb="2">
      <t>ソウゴウ</t>
    </rPh>
    <rPh sb="2" eb="4">
      <t>ヒョウカ</t>
    </rPh>
    <rPh sb="5" eb="7">
      <t>ギジュツ</t>
    </rPh>
    <rPh sb="7" eb="9">
      <t>テイアン</t>
    </rPh>
    <rPh sb="9" eb="12">
      <t>ヒョウカガタ</t>
    </rPh>
    <rPh sb="13" eb="14">
      <t>ガタ</t>
    </rPh>
    <phoneticPr fontId="5"/>
  </si>
  <si>
    <t>総合評価　技術提案評価型Ａ型</t>
    <rPh sb="0" eb="2">
      <t>ソウゴウ</t>
    </rPh>
    <rPh sb="2" eb="4">
      <t>ヒョウカ</t>
    </rPh>
    <rPh sb="5" eb="7">
      <t>ギジュツ</t>
    </rPh>
    <rPh sb="7" eb="9">
      <t>テイアン</t>
    </rPh>
    <rPh sb="9" eb="12">
      <t>ヒョウカガタ</t>
    </rPh>
    <rPh sb="13" eb="14">
      <t>ガタ</t>
    </rPh>
    <phoneticPr fontId="5"/>
  </si>
  <si>
    <t>総合評価　施工能力評価型Ⅱ型</t>
    <rPh sb="0" eb="2">
      <t>ソウゴウ</t>
    </rPh>
    <rPh sb="2" eb="4">
      <t>ヒョウカ</t>
    </rPh>
    <rPh sb="5" eb="7">
      <t>セコウ</t>
    </rPh>
    <rPh sb="7" eb="9">
      <t>ノウリョク</t>
    </rPh>
    <rPh sb="9" eb="12">
      <t>ヒョウカガタ</t>
    </rPh>
    <rPh sb="13" eb="14">
      <t>ガタ</t>
    </rPh>
    <phoneticPr fontId="5"/>
  </si>
  <si>
    <t>総合評価　施工能力評価型Ⅰ型</t>
    <rPh sb="0" eb="2">
      <t>ソウゴウ</t>
    </rPh>
    <rPh sb="2" eb="4">
      <t>ヒョウカ</t>
    </rPh>
    <rPh sb="5" eb="7">
      <t>セコウ</t>
    </rPh>
    <rPh sb="7" eb="9">
      <t>ノウリョク</t>
    </rPh>
    <rPh sb="9" eb="12">
      <t>ヒョウカガタ</t>
    </rPh>
    <rPh sb="13" eb="14">
      <t>ガタ</t>
    </rPh>
    <phoneticPr fontId="5"/>
  </si>
  <si>
    <t>一般競争入札の評価方法</t>
    <rPh sb="0" eb="2">
      <t>イッパン</t>
    </rPh>
    <rPh sb="2" eb="4">
      <t>キョウソウ</t>
    </rPh>
    <rPh sb="4" eb="6">
      <t>ニュウサツ</t>
    </rPh>
    <rPh sb="7" eb="9">
      <t>ヒョウカ</t>
    </rPh>
    <rPh sb="9" eb="11">
      <t>ホウホウ</t>
    </rPh>
    <phoneticPr fontId="5"/>
  </si>
  <si>
    <t>その他（価格評価等）</t>
    <rPh sb="2" eb="3">
      <t>タ</t>
    </rPh>
    <rPh sb="4" eb="6">
      <t>カカク</t>
    </rPh>
    <rPh sb="6" eb="8">
      <t>ヒョウカ</t>
    </rPh>
    <rPh sb="8" eb="9">
      <t>トウ</t>
    </rPh>
    <phoneticPr fontId="5"/>
  </si>
  <si>
    <t>風</t>
    <rPh sb="0" eb="1">
      <t>カゼ</t>
    </rPh>
    <phoneticPr fontId="4"/>
  </si>
  <si>
    <t>波浪</t>
    <rPh sb="0" eb="2">
      <t>ハロウ</t>
    </rPh>
    <phoneticPr fontId="4"/>
  </si>
  <si>
    <t>その他</t>
    <rPh sb="0" eb="3">
      <t>ソノタ</t>
    </rPh>
    <phoneticPr fontId="4"/>
  </si>
  <si>
    <t>該当するものを選択して下さい。</t>
    <rPh sb="7" eb="9">
      <t>センタク</t>
    </rPh>
    <phoneticPr fontId="4"/>
  </si>
  <si>
    <t>下記より理由を選択しﾘｽﾄで入力</t>
    <phoneticPr fontId="4"/>
  </si>
  <si>
    <t>（複数回答可）</t>
    <rPh sb="1" eb="3">
      <t>フクスウ</t>
    </rPh>
    <rPh sb="3" eb="5">
      <t>カイトウ</t>
    </rPh>
    <rPh sb="5" eb="6">
      <t>カ</t>
    </rPh>
    <phoneticPr fontId="4"/>
  </si>
  <si>
    <r>
      <t>受発注で</t>
    </r>
    <r>
      <rPr>
        <sz val="11"/>
        <rFont val="ＭＳ Ｐゴシック"/>
        <family val="3"/>
        <charset val="128"/>
      </rPr>
      <t xml:space="preserve">機器間接費の金額差が大きい
</t>
    </r>
    <r>
      <rPr>
        <b/>
        <sz val="11"/>
        <rFont val="ＭＳ Ｐゴシック"/>
        <family val="3"/>
        <charset val="128"/>
      </rPr>
      <t>（元請ファイル実績額の過小）</t>
    </r>
    <rPh sb="0" eb="3">
      <t>ジュハッチュウ</t>
    </rPh>
    <rPh sb="4" eb="6">
      <t>キキ</t>
    </rPh>
    <rPh sb="6" eb="7">
      <t>カン</t>
    </rPh>
    <rPh sb="7" eb="8">
      <t>セツ</t>
    </rPh>
    <rPh sb="8" eb="9">
      <t>ヒ</t>
    </rPh>
    <rPh sb="10" eb="12">
      <t>キンガク</t>
    </rPh>
    <rPh sb="12" eb="13">
      <t>サ</t>
    </rPh>
    <rPh sb="14" eb="15">
      <t>オオ</t>
    </rPh>
    <rPh sb="19" eb="21">
      <t>モトウケ</t>
    </rPh>
    <rPh sb="25" eb="27">
      <t>ジッセキ</t>
    </rPh>
    <rPh sb="27" eb="28">
      <t>ガク</t>
    </rPh>
    <rPh sb="29" eb="31">
      <t>カショウ</t>
    </rPh>
    <phoneticPr fontId="5"/>
  </si>
  <si>
    <t>１．降雨　２．降雪　３．風　４．波浪　５．その他</t>
    <rPh sb="2" eb="4">
      <t>コウウ</t>
    </rPh>
    <rPh sb="7" eb="9">
      <t>コウセツ</t>
    </rPh>
    <rPh sb="12" eb="13">
      <t>カゼ</t>
    </rPh>
    <rPh sb="16" eb="18">
      <t>ハロウ</t>
    </rPh>
    <rPh sb="21" eb="24">
      <t>ソノタ</t>
    </rPh>
    <phoneticPr fontId="4"/>
  </si>
  <si>
    <t>：</t>
    <phoneticPr fontId="4"/>
  </si>
  <si>
    <t>土曜日曜休の設定休日数</t>
    <rPh sb="6" eb="8">
      <t>セッテイ</t>
    </rPh>
    <rPh sb="8" eb="10">
      <t>キュウジツ</t>
    </rPh>
    <rPh sb="10" eb="11">
      <t>スウ</t>
    </rPh>
    <phoneticPr fontId="4"/>
  </si>
  <si>
    <t>（４週</t>
    <phoneticPr fontId="4"/>
  </si>
  <si>
    <t>休で工期設定）</t>
    <phoneticPr fontId="4"/>
  </si>
  <si>
    <t>祝日休の設定休日数</t>
    <phoneticPr fontId="4"/>
  </si>
  <si>
    <t>（この内日曜休・土曜休の日数</t>
    <phoneticPr fontId="4"/>
  </si>
  <si>
    <t>年末年始の設定休日数</t>
    <phoneticPr fontId="4"/>
  </si>
  <si>
    <r>
      <t>受発注で</t>
    </r>
    <r>
      <rPr>
        <sz val="11"/>
        <rFont val="ＭＳ Ｐゴシック"/>
        <family val="3"/>
        <charset val="128"/>
      </rPr>
      <t xml:space="preserve">機器間接費の金額差が大きい
</t>
    </r>
    <r>
      <rPr>
        <b/>
        <sz val="11"/>
        <rFont val="ＭＳ Ｐゴシック"/>
        <family val="3"/>
        <charset val="128"/>
      </rPr>
      <t>（元請ファイル実績額の過大）</t>
    </r>
    <rPh sb="0" eb="3">
      <t>ジュハッチュウ</t>
    </rPh>
    <rPh sb="4" eb="6">
      <t>キキ</t>
    </rPh>
    <rPh sb="6" eb="8">
      <t>カンセツ</t>
    </rPh>
    <rPh sb="8" eb="9">
      <t>ヒ</t>
    </rPh>
    <rPh sb="10" eb="12">
      <t>キンガク</t>
    </rPh>
    <rPh sb="12" eb="13">
      <t>サ</t>
    </rPh>
    <rPh sb="14" eb="15">
      <t>オオ</t>
    </rPh>
    <rPh sb="19" eb="21">
      <t>モトウケ</t>
    </rPh>
    <rPh sb="25" eb="27">
      <t>ジッセキ</t>
    </rPh>
    <rPh sb="27" eb="28">
      <t>ガク</t>
    </rPh>
    <rPh sb="29" eb="31">
      <t>カダイ</t>
    </rPh>
    <phoneticPr fontId="5"/>
  </si>
  <si>
    <t>準備費に関する調査</t>
    <phoneticPr fontId="5"/>
  </si>
  <si>
    <t>行った</t>
    <phoneticPr fontId="5"/>
  </si>
  <si>
    <t>行わない</t>
    <phoneticPr fontId="5"/>
  </si>
  <si>
    <t>　</t>
    <phoneticPr fontId="5"/>
  </si>
  <si>
    <t>Ⅱ 補償の方法</t>
    <phoneticPr fontId="5"/>
  </si>
  <si>
    <t>不明</t>
    <rPh sb="0" eb="2">
      <t>フメイ</t>
    </rPh>
    <phoneticPr fontId="5"/>
  </si>
  <si>
    <r>
      <t>以下の補償の方法から該当するものに"○</t>
    </r>
    <r>
      <rPr>
        <sz val="11"/>
        <rFont val="ＭＳ Ｐゴシック"/>
        <family val="3"/>
        <charset val="128"/>
      </rPr>
      <t>"をつけてください。</t>
    </r>
    <rPh sb="0" eb="2">
      <t>イカ</t>
    </rPh>
    <rPh sb="10" eb="12">
      <t>ガイトウ</t>
    </rPh>
    <phoneticPr fontId="5"/>
  </si>
  <si>
    <t>(５)</t>
    <phoneticPr fontId="5"/>
  </si>
  <si>
    <t>⑥工事価格</t>
    <rPh sb="1" eb="3">
      <t>コウジ</t>
    </rPh>
    <rPh sb="3" eb="5">
      <t>カカク</t>
    </rPh>
    <phoneticPr fontId="5"/>
  </si>
  <si>
    <t>補償費</t>
  </si>
  <si>
    <t>工事価格</t>
  </si>
  <si>
    <t>①</t>
  </si>
  <si>
    <t>②</t>
  </si>
  <si>
    <t>③</t>
  </si>
  <si>
    <t>④</t>
  </si>
  <si>
    <r>
      <t>元請ファイルの共通仮設費が</t>
    </r>
    <r>
      <rPr>
        <b/>
        <sz val="11"/>
        <rFont val="ＭＳ Ｐゴシック"/>
        <family val="3"/>
        <charset val="128"/>
      </rPr>
      <t>未入力</t>
    </r>
    <r>
      <rPr>
        <sz val="11"/>
        <rFont val="ＭＳ Ｐゴシック"/>
        <family val="3"/>
        <charset val="128"/>
      </rPr>
      <t/>
    </r>
    <rPh sb="7" eb="12">
      <t>キョウツウカセツヒ</t>
    </rPh>
    <phoneticPr fontId="5"/>
  </si>
  <si>
    <r>
      <t>発注ファイルの共通仮設費が</t>
    </r>
    <r>
      <rPr>
        <b/>
        <sz val="11"/>
        <rFont val="ＭＳ Ｐゴシック"/>
        <family val="3"/>
        <charset val="128"/>
      </rPr>
      <t>「0」</t>
    </r>
    <rPh sb="7" eb="12">
      <t>キョウツウカセツヒ</t>
    </rPh>
    <phoneticPr fontId="5"/>
  </si>
  <si>
    <r>
      <t>※</t>
    </r>
    <r>
      <rPr>
        <sz val="9"/>
        <rFont val="ＭＳ Ｐゴシック"/>
        <family val="3"/>
        <charset val="128"/>
      </rPr>
      <t>共通仮設費積算対象金額の自動計算値は、下記により算出しています。
　「①直接工事費」＋「(2)支給材料費」＋「(5)無償貸付機械等評価額」＋「ハ事業損失防止施設費」
　+「ロ準備費B処分費」－「管理費区分1～9」-「管理費区分Ｔのうち、3％または3000万円を超える額」</t>
    </r>
    <rPh sb="98" eb="101">
      <t>カンリヒ</t>
    </rPh>
    <rPh sb="101" eb="103">
      <t>クブン</t>
    </rPh>
    <rPh sb="109" eb="112">
      <t>カンリヒ</t>
    </rPh>
    <rPh sb="112" eb="114">
      <t>クブン</t>
    </rPh>
    <phoneticPr fontId="4"/>
  </si>
  <si>
    <t>地域特性</t>
    <rPh sb="0" eb="2">
      <t>チイキ</t>
    </rPh>
    <rPh sb="2" eb="4">
      <t>トクセイ</t>
    </rPh>
    <phoneticPr fontId="5"/>
  </si>
  <si>
    <t>工期についての調査票</t>
    <rPh sb="0" eb="2">
      <t>コウキ</t>
    </rPh>
    <rPh sb="7" eb="10">
      <t>チョウサヒョウ</t>
    </rPh>
    <phoneticPr fontId="4"/>
  </si>
  <si>
    <t>降雨</t>
    <rPh sb="0" eb="2">
      <t>コウウ</t>
    </rPh>
    <phoneticPr fontId="4"/>
  </si>
  <si>
    <t>降雪</t>
    <rPh sb="0" eb="2">
      <t>コウセツ</t>
    </rPh>
    <phoneticPr fontId="4"/>
  </si>
  <si>
    <t>①</t>
    <phoneticPr fontId="4"/>
  </si>
  <si>
    <t>1.無償貸付機械等評価額を入力して下さい
2.費用が発生しない場合は０を入力して下さい</t>
    <rPh sb="26" eb="28">
      <t>ハッセイ</t>
    </rPh>
    <phoneticPr fontId="5"/>
  </si>
  <si>
    <t>市場単価</t>
    <rPh sb="0" eb="2">
      <t>イチバ</t>
    </rPh>
    <rPh sb="2" eb="4">
      <t>タンカ</t>
    </rPh>
    <phoneticPr fontId="5"/>
  </si>
  <si>
    <r>
      <t>発注ファイルの市場単価が</t>
    </r>
    <r>
      <rPr>
        <b/>
        <sz val="10"/>
        <rFont val="ＭＳ Ｐゴシック"/>
        <family val="3"/>
        <charset val="128"/>
      </rPr>
      <t>未入力</t>
    </r>
    <rPh sb="7" eb="9">
      <t>シジョウ</t>
    </rPh>
    <rPh sb="9" eb="11">
      <t>タンカ</t>
    </rPh>
    <phoneticPr fontId="5"/>
  </si>
  <si>
    <t>積算に用いた現場管理費補正率</t>
    <rPh sb="0" eb="2">
      <t>セキサン</t>
    </rPh>
    <rPh sb="3" eb="4">
      <t>モチ</t>
    </rPh>
    <rPh sb="6" eb="8">
      <t>ゲンバ</t>
    </rPh>
    <rPh sb="8" eb="11">
      <t>カンリヒ</t>
    </rPh>
    <rPh sb="11" eb="13">
      <t>ホセイ</t>
    </rPh>
    <rPh sb="13" eb="14">
      <t>リツ</t>
    </rPh>
    <phoneticPr fontId="5"/>
  </si>
  <si>
    <t>デザインされた特注品のかわりに同規格の既製品を使用した場合の材料費</t>
    <phoneticPr fontId="5"/>
  </si>
  <si>
    <t>内訳合計の金額</t>
    <rPh sb="0" eb="2">
      <t>ウチワケ</t>
    </rPh>
    <rPh sb="2" eb="4">
      <t>ゴウケイ</t>
    </rPh>
    <rPh sb="5" eb="7">
      <t>キンガク</t>
    </rPh>
    <phoneticPr fontId="5"/>
  </si>
  <si>
    <t>労働者送迎費</t>
    <rPh sb="0" eb="2">
      <t>ロウドウ</t>
    </rPh>
    <phoneticPr fontId="5"/>
  </si>
  <si>
    <t>仮設備関係</t>
    <rPh sb="0" eb="1">
      <t>カリ</t>
    </rPh>
    <rPh sb="1" eb="3">
      <t>セツビ</t>
    </rPh>
    <rPh sb="3" eb="5">
      <t>カンケイ</t>
    </rPh>
    <phoneticPr fontId="5"/>
  </si>
  <si>
    <t>営繕関係</t>
    <rPh sb="0" eb="2">
      <t>エイゼン</t>
    </rPh>
    <rPh sb="2" eb="4">
      <t>カンケイ</t>
    </rPh>
    <phoneticPr fontId="5"/>
  </si>
  <si>
    <t>安全関係</t>
    <rPh sb="0" eb="2">
      <t>アンゼン</t>
    </rPh>
    <rPh sb="2" eb="4">
      <t>カンケイ</t>
    </rPh>
    <phoneticPr fontId="5"/>
  </si>
  <si>
    <t>回航・えい航費</t>
    <rPh sb="0" eb="2">
      <t>カイコウ</t>
    </rPh>
    <rPh sb="5" eb="6">
      <t>コウ</t>
    </rPh>
    <phoneticPr fontId="5"/>
  </si>
  <si>
    <r>
      <t>発注ファイルと元請ファイルの消費税相当額が</t>
    </r>
    <r>
      <rPr>
        <b/>
        <sz val="10"/>
        <rFont val="ＭＳ Ｐゴシック"/>
        <family val="3"/>
        <charset val="128"/>
      </rPr>
      <t>不一致</t>
    </r>
    <rPh sb="7" eb="9">
      <t>モトウケ</t>
    </rPh>
    <rPh sb="21" eb="24">
      <t>フイッチ</t>
    </rPh>
    <phoneticPr fontId="5"/>
  </si>
  <si>
    <r>
      <t>1</t>
    </r>
    <r>
      <rPr>
        <sz val="11"/>
        <rFont val="ＭＳ Ｐゴシック"/>
        <family val="3"/>
        <charset val="128"/>
      </rPr>
      <t>.消費税相当額を一致させて下さい
2.金額は「千円」単位で入力して下さい</t>
    </r>
    <rPh sb="2" eb="5">
      <t>ショウヒゼイ</t>
    </rPh>
    <rPh sb="5" eb="8">
      <t>ソウトウガク</t>
    </rPh>
    <rPh sb="9" eb="11">
      <t>イッチ</t>
    </rPh>
    <rPh sb="14" eb="15">
      <t>クダ</t>
    </rPh>
    <rPh sb="20" eb="22">
      <t>キンガク</t>
    </rPh>
    <rPh sb="24" eb="26">
      <t>センエン</t>
    </rPh>
    <rPh sb="27" eb="29">
      <t>タンイ</t>
    </rPh>
    <rPh sb="30" eb="32">
      <t>ニュウリョク</t>
    </rPh>
    <rPh sb="34" eb="35">
      <t>クダ</t>
    </rPh>
    <phoneticPr fontId="5"/>
  </si>
  <si>
    <t>（複数回答可）　　　　　　　　　　　　　　　　　　　　      　　　　　理由２：</t>
    <phoneticPr fontId="5"/>
  </si>
  <si>
    <r>
      <t xml:space="preserve">５．概算概略発注  </t>
    </r>
    <r>
      <rPr>
        <sz val="8"/>
        <rFont val="ＭＳ Ｐゴシック"/>
        <family val="3"/>
        <charset val="128"/>
      </rPr>
      <t xml:space="preserve"> </t>
    </r>
    <r>
      <rPr>
        <sz val="10"/>
        <rFont val="ＭＳ Ｐゴシック"/>
        <family val="3"/>
        <charset val="128"/>
      </rPr>
      <t>６．その他　　　　　　 　　　　　　　　　　　　理由５：</t>
    </r>
    <rPh sb="2" eb="4">
      <t>ガイサン</t>
    </rPh>
    <rPh sb="4" eb="6">
      <t>ガイリャク</t>
    </rPh>
    <rPh sb="6" eb="8">
      <t>ハッチュウ</t>
    </rPh>
    <phoneticPr fontId="5"/>
  </si>
  <si>
    <t>一般管理費等</t>
    <phoneticPr fontId="5"/>
  </si>
  <si>
    <r>
      <t>発注ファイル及び元請ファイルの一般管理費等が</t>
    </r>
    <r>
      <rPr>
        <b/>
        <sz val="11"/>
        <rFont val="ＭＳ Ｐゴシック"/>
        <family val="3"/>
        <charset val="128"/>
      </rPr>
      <t>未入力</t>
    </r>
    <r>
      <rPr>
        <sz val="11"/>
        <rFont val="ＭＳ Ｐゴシック"/>
        <family val="3"/>
        <charset val="128"/>
      </rPr>
      <t/>
    </r>
    <rPh sb="15" eb="17">
      <t>イッパン</t>
    </rPh>
    <rPh sb="17" eb="20">
      <t>カンリヒ</t>
    </rPh>
    <rPh sb="20" eb="21">
      <t>ナド</t>
    </rPh>
    <phoneticPr fontId="5"/>
  </si>
  <si>
    <t>一般管理費等を入力して下さい</t>
    <rPh sb="0" eb="2">
      <t>イッパン</t>
    </rPh>
    <rPh sb="2" eb="5">
      <t>カンリヒ</t>
    </rPh>
    <rPh sb="5" eb="6">
      <t>トウ</t>
    </rPh>
    <phoneticPr fontId="5"/>
  </si>
  <si>
    <r>
      <t>発注ファイルの一般管理費等が</t>
    </r>
    <r>
      <rPr>
        <b/>
        <sz val="11"/>
        <rFont val="ＭＳ Ｐゴシック"/>
        <family val="3"/>
        <charset val="128"/>
      </rPr>
      <t>未入力</t>
    </r>
    <r>
      <rPr>
        <sz val="11"/>
        <rFont val="ＭＳ Ｐゴシック"/>
        <family val="3"/>
        <charset val="128"/>
      </rPr>
      <t/>
    </r>
    <rPh sb="7" eb="9">
      <t>イッパン</t>
    </rPh>
    <rPh sb="9" eb="12">
      <t>カンリヒ</t>
    </rPh>
    <rPh sb="12" eb="13">
      <t>ナド</t>
    </rPh>
    <phoneticPr fontId="5"/>
  </si>
  <si>
    <r>
      <t>発注ファイルの一般管理費等が</t>
    </r>
    <r>
      <rPr>
        <b/>
        <sz val="11"/>
        <rFont val="ＭＳ Ｐゴシック"/>
        <family val="3"/>
        <charset val="128"/>
      </rPr>
      <t>「0」</t>
    </r>
    <rPh sb="7" eb="9">
      <t>イッパン</t>
    </rPh>
    <rPh sb="9" eb="12">
      <t>カンリヒ</t>
    </rPh>
    <rPh sb="12" eb="13">
      <t>ナド</t>
    </rPh>
    <phoneticPr fontId="5"/>
  </si>
  <si>
    <t>市場単価</t>
  </si>
  <si>
    <t>工事中止命令があった。</t>
    <phoneticPr fontId="5"/>
  </si>
  <si>
    <t>Ⅰ</t>
    <phoneticPr fontId="4"/>
  </si>
  <si>
    <t>Ⅱ</t>
    <phoneticPr fontId="5"/>
  </si>
  <si>
    <t>一般事項</t>
    <rPh sb="0" eb="2">
      <t>イッパン</t>
    </rPh>
    <rPh sb="2" eb="4">
      <t>ジコウ</t>
    </rPh>
    <phoneticPr fontId="5"/>
  </si>
  <si>
    <t>施工環境調査票</t>
    <phoneticPr fontId="5"/>
  </si>
  <si>
    <t>工事情報</t>
    <rPh sb="0" eb="2">
      <t>コウジ</t>
    </rPh>
    <rPh sb="2" eb="4">
      <t>ジョウホウ</t>
    </rPh>
    <phoneticPr fontId="5"/>
  </si>
  <si>
    <t>工事費</t>
    <rPh sb="0" eb="3">
      <t>コウジヒ</t>
    </rPh>
    <phoneticPr fontId="5"/>
  </si>
  <si>
    <t>工事費内訳</t>
    <phoneticPr fontId="5"/>
  </si>
  <si>
    <t>費　　目</t>
    <rPh sb="0" eb="4">
      <t>ヒモク</t>
    </rPh>
    <phoneticPr fontId="5"/>
  </si>
  <si>
    <t>積　　算</t>
    <rPh sb="0" eb="4">
      <t>セキサン</t>
    </rPh>
    <phoneticPr fontId="5"/>
  </si>
  <si>
    <t>直接工事費</t>
    <phoneticPr fontId="5"/>
  </si>
  <si>
    <t>消費税相当額</t>
    <rPh sb="0" eb="3">
      <t>ショウヒゼイ</t>
    </rPh>
    <rPh sb="3" eb="5">
      <t>ソウトウ</t>
    </rPh>
    <rPh sb="5" eb="6">
      <t>ガク</t>
    </rPh>
    <phoneticPr fontId="5"/>
  </si>
  <si>
    <t>うち消費税</t>
    <rPh sb="2" eb="5">
      <t>ショウヒゼイ</t>
    </rPh>
    <phoneticPr fontId="5"/>
  </si>
  <si>
    <t>間接工事費等諸経費動向調査</t>
    <phoneticPr fontId="4"/>
  </si>
  <si>
    <t>チェック回数</t>
    <rPh sb="4" eb="6">
      <t>カイスウ</t>
    </rPh>
    <phoneticPr fontId="5"/>
  </si>
  <si>
    <r>
      <t>元請ファイルの一般管理費等が</t>
    </r>
    <r>
      <rPr>
        <b/>
        <sz val="11"/>
        <rFont val="ＭＳ Ｐゴシック"/>
        <family val="3"/>
        <charset val="128"/>
      </rPr>
      <t>未入力</t>
    </r>
    <r>
      <rPr>
        <sz val="11"/>
        <rFont val="ＭＳ Ｐゴシック"/>
        <family val="3"/>
        <charset val="128"/>
      </rPr>
      <t/>
    </r>
    <rPh sb="0" eb="2">
      <t>モトウ</t>
    </rPh>
    <rPh sb="7" eb="9">
      <t>イッパン</t>
    </rPh>
    <rPh sb="9" eb="12">
      <t>カンリヒ</t>
    </rPh>
    <rPh sb="12" eb="13">
      <t>ナド</t>
    </rPh>
    <phoneticPr fontId="5"/>
  </si>
  <si>
    <t>課名</t>
    <rPh sb="0" eb="1">
      <t>カ</t>
    </rPh>
    <rPh sb="1" eb="2">
      <t>メイ</t>
    </rPh>
    <phoneticPr fontId="5"/>
  </si>
  <si>
    <t>トンネル用スライドセントル</t>
    <phoneticPr fontId="5"/>
  </si>
  <si>
    <t>京都府</t>
    <rPh sb="0" eb="3">
      <t>キョウトフ</t>
    </rPh>
    <phoneticPr fontId="5"/>
  </si>
  <si>
    <t>大阪府</t>
    <rPh sb="0" eb="3">
      <t>オオサカフ</t>
    </rPh>
    <phoneticPr fontId="5"/>
  </si>
  <si>
    <t>兵庫県</t>
    <rPh sb="0" eb="3">
      <t>ヒョウゴケン</t>
    </rPh>
    <phoneticPr fontId="5"/>
  </si>
  <si>
    <t>福岡県</t>
    <rPh sb="0" eb="2">
      <t>フクオカ</t>
    </rPh>
    <rPh sb="2" eb="3">
      <t>ケン</t>
    </rPh>
    <phoneticPr fontId="5"/>
  </si>
  <si>
    <t>広島県</t>
    <rPh sb="0" eb="3">
      <t>ヒロシマケン</t>
    </rPh>
    <phoneticPr fontId="5"/>
  </si>
  <si>
    <t>宮城県</t>
    <rPh sb="0" eb="3">
      <t>ミヤギケン</t>
    </rPh>
    <phoneticPr fontId="5"/>
  </si>
  <si>
    <t>　(１)材料費</t>
    <phoneticPr fontId="5"/>
  </si>
  <si>
    <t>　(３)労務費</t>
    <phoneticPr fontId="5"/>
  </si>
  <si>
    <t>　(６)市場単価</t>
    <phoneticPr fontId="5"/>
  </si>
  <si>
    <t>４)</t>
    <phoneticPr fontId="5"/>
  </si>
  <si>
    <t>　　２）共通仮設費（率分）</t>
    <rPh sb="4" eb="6">
      <t>キョウツウ</t>
    </rPh>
    <rPh sb="6" eb="9">
      <t>カセツヒ</t>
    </rPh>
    <rPh sb="10" eb="11">
      <t>リツ</t>
    </rPh>
    <rPh sb="11" eb="12">
      <t>ブン</t>
    </rPh>
    <phoneticPr fontId="5"/>
  </si>
  <si>
    <t>A 準備費</t>
    <rPh sb="2" eb="5">
      <t>ジュンビヒ</t>
    </rPh>
    <phoneticPr fontId="5"/>
  </si>
  <si>
    <t>B 処分費</t>
    <rPh sb="2" eb="5">
      <t>ショブンヒ</t>
    </rPh>
    <phoneticPr fontId="5"/>
  </si>
  <si>
    <t>エラーの件数</t>
    <rPh sb="4" eb="6">
      <t>ケンスウ</t>
    </rPh>
    <phoneticPr fontId="5"/>
  </si>
  <si>
    <t>契約日から着手指定日まで30日以上あった。</t>
    <phoneticPr fontId="5"/>
  </si>
  <si>
    <t>YES</t>
  </si>
  <si>
    <t>落札率（元請工事価格/発注工事価格）が低い
（落札率が90％未満）</t>
    <rPh sb="0" eb="2">
      <t>ラクサツ</t>
    </rPh>
    <rPh sb="2" eb="3">
      <t>リツ</t>
    </rPh>
    <rPh sb="19" eb="20">
      <t>ヒク</t>
    </rPh>
    <rPh sb="30" eb="32">
      <t>ミマン</t>
    </rPh>
    <phoneticPr fontId="5"/>
  </si>
  <si>
    <t>品目</t>
    <rPh sb="0" eb="2">
      <t>ヒンモク</t>
    </rPh>
    <phoneticPr fontId="5"/>
  </si>
  <si>
    <t>規格</t>
    <rPh sb="0" eb="2">
      <t>キカク</t>
    </rPh>
    <phoneticPr fontId="5"/>
  </si>
  <si>
    <t>数量</t>
    <rPh sb="0" eb="2">
      <t>スウリョウ</t>
    </rPh>
    <phoneticPr fontId="5"/>
  </si>
  <si>
    <t>A-12　品質証明に係る費用（品質証明費）</t>
    <rPh sb="5" eb="7">
      <t>ヒンシツ</t>
    </rPh>
    <rPh sb="7" eb="9">
      <t>ショウメイ</t>
    </rPh>
    <rPh sb="10" eb="11">
      <t>カカ</t>
    </rPh>
    <rPh sb="12" eb="14">
      <t>ヒヨウ</t>
    </rPh>
    <rPh sb="15" eb="17">
      <t>ヒンシツ</t>
    </rPh>
    <rPh sb="17" eb="19">
      <t>ショウメイ</t>
    </rPh>
    <rPh sb="19" eb="20">
      <t>ヒ</t>
    </rPh>
    <phoneticPr fontId="5"/>
  </si>
  <si>
    <t>B-1　品質管理基準に記載されていない項目（上記A以外）に要した費用</t>
    <rPh sb="4" eb="6">
      <t>ヒンシツ</t>
    </rPh>
    <rPh sb="6" eb="8">
      <t>カンリ</t>
    </rPh>
    <rPh sb="8" eb="10">
      <t>キジュン</t>
    </rPh>
    <rPh sb="11" eb="13">
      <t>キサイ</t>
    </rPh>
    <rPh sb="19" eb="21">
      <t>コウモク</t>
    </rPh>
    <rPh sb="22" eb="24">
      <t>ジョウキ</t>
    </rPh>
    <rPh sb="25" eb="27">
      <t>イガイ</t>
    </rPh>
    <rPh sb="29" eb="30">
      <t>ヨウ</t>
    </rPh>
    <rPh sb="32" eb="34">
      <t>ヒヨウ</t>
    </rPh>
    <phoneticPr fontId="5"/>
  </si>
  <si>
    <t>C-1　現場条件により、設計書、特記仕様書等で指定されているものに要した費用</t>
    <rPh sb="4" eb="6">
      <t>ゲンバ</t>
    </rPh>
    <rPh sb="6" eb="8">
      <t>ジョウケン</t>
    </rPh>
    <rPh sb="12" eb="15">
      <t>セッケイショ</t>
    </rPh>
    <rPh sb="16" eb="18">
      <t>トッキ</t>
    </rPh>
    <rPh sb="18" eb="21">
      <t>シヨウショ</t>
    </rPh>
    <rPh sb="21" eb="22">
      <t>トウ</t>
    </rPh>
    <rPh sb="23" eb="25">
      <t>シテイ</t>
    </rPh>
    <rPh sb="33" eb="34">
      <t>ヨウ</t>
    </rPh>
    <rPh sb="36" eb="38">
      <t>ヒヨウ</t>
    </rPh>
    <phoneticPr fontId="5"/>
  </si>
  <si>
    <t>D-1　各種調査等（設計書、特記仕様書等で指定されている各種調査）に要した費用</t>
    <rPh sb="4" eb="6">
      <t>カクシュ</t>
    </rPh>
    <rPh sb="6" eb="8">
      <t>チョウサ</t>
    </rPh>
    <rPh sb="8" eb="9">
      <t>トウ</t>
    </rPh>
    <rPh sb="10" eb="12">
      <t>セッケイ</t>
    </rPh>
    <rPh sb="12" eb="13">
      <t>ショ</t>
    </rPh>
    <rPh sb="14" eb="16">
      <t>トッキ</t>
    </rPh>
    <rPh sb="16" eb="19">
      <t>シヨウショ</t>
    </rPh>
    <rPh sb="19" eb="20">
      <t>トウ</t>
    </rPh>
    <rPh sb="21" eb="23">
      <t>シテイ</t>
    </rPh>
    <rPh sb="28" eb="30">
      <t>カクシュ</t>
    </rPh>
    <rPh sb="30" eb="32">
      <t>チョウサ</t>
    </rPh>
    <rPh sb="34" eb="35">
      <t>ヨウ</t>
    </rPh>
    <rPh sb="37" eb="39">
      <t>ヒヨウ</t>
    </rPh>
    <phoneticPr fontId="5"/>
  </si>
  <si>
    <t>E-1　各種台帳等の作成及び修正に要した費用</t>
    <rPh sb="4" eb="6">
      <t>カクシュ</t>
    </rPh>
    <rPh sb="6" eb="8">
      <t>ダイチョウ</t>
    </rPh>
    <rPh sb="8" eb="9">
      <t>トウ</t>
    </rPh>
    <rPh sb="10" eb="12">
      <t>サクセイ</t>
    </rPh>
    <rPh sb="12" eb="13">
      <t>オヨ</t>
    </rPh>
    <rPh sb="14" eb="16">
      <t>シュウセイ</t>
    </rPh>
    <rPh sb="17" eb="18">
      <t>ヨウ</t>
    </rPh>
    <rPh sb="20" eb="22">
      <t>ヒヨウ</t>
    </rPh>
    <phoneticPr fontId="5"/>
  </si>
  <si>
    <t>F-1　上記「A～E」以外で、特に技術的判断に必要な資料の作成に要した費用</t>
    <rPh sb="4" eb="6">
      <t>ジョウキ</t>
    </rPh>
    <rPh sb="11" eb="13">
      <t>イガイ</t>
    </rPh>
    <rPh sb="15" eb="16">
      <t>トク</t>
    </rPh>
    <rPh sb="17" eb="20">
      <t>ギジュツテキ</t>
    </rPh>
    <rPh sb="20" eb="22">
      <t>ハンダン</t>
    </rPh>
    <rPh sb="23" eb="25">
      <t>ヒツヨウ</t>
    </rPh>
    <rPh sb="26" eb="28">
      <t>シリョウ</t>
    </rPh>
    <rPh sb="29" eb="31">
      <t>サクセイ</t>
    </rPh>
    <rPh sb="32" eb="33">
      <t>ヨウ</t>
    </rPh>
    <rPh sb="35" eb="37">
      <t>ヒヨウ</t>
    </rPh>
    <phoneticPr fontId="5"/>
  </si>
  <si>
    <t>発注者側で積算計上したものに応じた費用を元請ファイルに入力するよう元請担当者に伝えて下さい</t>
    <rPh sb="17" eb="19">
      <t>ヒヨウ</t>
    </rPh>
    <rPh sb="33" eb="35">
      <t>モトウケ</t>
    </rPh>
    <rPh sb="35" eb="38">
      <t>タントウシャ</t>
    </rPh>
    <rPh sb="39" eb="40">
      <t>ツタ</t>
    </rPh>
    <rPh sb="42" eb="43">
      <t>クダ</t>
    </rPh>
    <phoneticPr fontId="5"/>
  </si>
  <si>
    <r>
      <t>元請ファイルの共通仮設費（率分）が</t>
    </r>
    <r>
      <rPr>
        <b/>
        <sz val="11"/>
        <rFont val="ＭＳ Ｐゴシック"/>
        <family val="3"/>
        <charset val="128"/>
      </rPr>
      <t>「0」</t>
    </r>
    <rPh sb="7" eb="12">
      <t>キョウツウカセツヒ</t>
    </rPh>
    <rPh sb="13" eb="14">
      <t>リツ</t>
    </rPh>
    <rPh sb="14" eb="15">
      <t>ブン</t>
    </rPh>
    <phoneticPr fontId="5"/>
  </si>
  <si>
    <r>
      <t>受発注で共通仮設費（率分）の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1">
      <t>リツ</t>
    </rPh>
    <rPh sb="11" eb="12">
      <t>ブン</t>
    </rPh>
    <rPh sb="14" eb="16">
      <t>キンガク</t>
    </rPh>
    <rPh sb="16" eb="17">
      <t>サ</t>
    </rPh>
    <rPh sb="18" eb="19">
      <t>オオ</t>
    </rPh>
    <rPh sb="23" eb="25">
      <t>モトウケ</t>
    </rPh>
    <rPh sb="29" eb="31">
      <t>ジッセキ</t>
    </rPh>
    <rPh sb="31" eb="32">
      <t>ガク</t>
    </rPh>
    <rPh sb="33" eb="35">
      <t>カダイ</t>
    </rPh>
    <phoneticPr fontId="5"/>
  </si>
  <si>
    <r>
      <t>受発注で共通仮設費（率分）の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1">
      <t>リツ</t>
    </rPh>
    <rPh sb="11" eb="12">
      <t>ブン</t>
    </rPh>
    <rPh sb="14" eb="16">
      <t>キンガク</t>
    </rPh>
    <rPh sb="16" eb="17">
      <t>サ</t>
    </rPh>
    <rPh sb="18" eb="19">
      <t>オオ</t>
    </rPh>
    <rPh sb="23" eb="25">
      <t>モトウケ</t>
    </rPh>
    <rPh sb="29" eb="31">
      <t>ジッセキ</t>
    </rPh>
    <rPh sb="31" eb="32">
      <t>ガク</t>
    </rPh>
    <rPh sb="33" eb="35">
      <t>カショウ</t>
    </rPh>
    <phoneticPr fontId="5"/>
  </si>
  <si>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phoneticPr fontId="4"/>
  </si>
  <si>
    <t>要確認16</t>
    <phoneticPr fontId="5"/>
  </si>
  <si>
    <t>要確認17</t>
    <phoneticPr fontId="5"/>
  </si>
  <si>
    <t>要確認18</t>
    <phoneticPr fontId="5"/>
  </si>
  <si>
    <t>要確認19</t>
    <phoneticPr fontId="5"/>
  </si>
  <si>
    <t>要確認内容</t>
    <rPh sb="0" eb="1">
      <t>ヨウ</t>
    </rPh>
    <rPh sb="1" eb="3">
      <t>カクニン</t>
    </rPh>
    <rPh sb="3" eb="5">
      <t>ナイヨウ</t>
    </rPh>
    <phoneticPr fontId="5"/>
  </si>
  <si>
    <r>
      <t>(その他の例：設計成果の遅延及び事前調査不足による)　</t>
    </r>
    <r>
      <rPr>
        <sz val="10"/>
        <rFont val="ＭＳ Ｐゴシック"/>
        <family val="3"/>
        <charset val="128"/>
      </rPr>
      <t>　       　　 理由６：</t>
    </r>
    <rPh sb="3" eb="4">
      <t>タ</t>
    </rPh>
    <rPh sb="5" eb="6">
      <t>レイ</t>
    </rPh>
    <phoneticPr fontId="5"/>
  </si>
  <si>
    <r>
      <t>元請ファイルの共通仮設費（率分）が</t>
    </r>
    <r>
      <rPr>
        <b/>
        <sz val="11"/>
        <rFont val="ＭＳ Ｐゴシック"/>
        <family val="3"/>
        <charset val="128"/>
      </rPr>
      <t>未入力</t>
    </r>
    <r>
      <rPr>
        <sz val="11"/>
        <rFont val="ＭＳ Ｐゴシック"/>
        <family val="3"/>
        <charset val="128"/>
      </rPr>
      <t/>
    </r>
    <rPh sb="7" eb="12">
      <t>キョウツウカセツヒ</t>
    </rPh>
    <rPh sb="13" eb="14">
      <t>リツ</t>
    </rPh>
    <rPh sb="14" eb="15">
      <t>ブン</t>
    </rPh>
    <phoneticPr fontId="5"/>
  </si>
  <si>
    <r>
      <t>発注ファイルの共通仮設費（率分）が</t>
    </r>
    <r>
      <rPr>
        <b/>
        <sz val="11"/>
        <rFont val="ＭＳ Ｐゴシック"/>
        <family val="3"/>
        <charset val="128"/>
      </rPr>
      <t>「0」</t>
    </r>
    <rPh sb="7" eb="12">
      <t>キョウツウカセツヒ</t>
    </rPh>
    <rPh sb="13" eb="14">
      <t>リツ</t>
    </rPh>
    <rPh sb="14" eb="15">
      <t>ブン</t>
    </rPh>
    <phoneticPr fontId="5"/>
  </si>
  <si>
    <t>除雪工事補正の有無</t>
    <rPh sb="0" eb="2">
      <t>ジョセツ</t>
    </rPh>
    <rPh sb="2" eb="4">
      <t>コウジ</t>
    </rPh>
    <rPh sb="4" eb="6">
      <t>ホセイ</t>
    </rPh>
    <rPh sb="7" eb="9">
      <t>ウム</t>
    </rPh>
    <phoneticPr fontId="5"/>
  </si>
  <si>
    <t>その他②</t>
    <phoneticPr fontId="5"/>
  </si>
  <si>
    <t>その他①</t>
    <rPh sb="2" eb="3">
      <t>タ</t>
    </rPh>
    <phoneticPr fontId="5"/>
  </si>
  <si>
    <r>
      <t>1.金額は「千円」単位での入力になっているか？
2.発注ファイルの入力金額は正しいか？
3.元請ファイルの入力金額は正しいか？
　</t>
    </r>
    <r>
      <rPr>
        <b/>
        <sz val="10"/>
        <rFont val="ＭＳ Ｐゴシック"/>
        <family val="3"/>
        <charset val="128"/>
      </rPr>
      <t>①現場作業員の賃金を「現場管理費の社員等従業員給料手当」に誤計上し、労務費が過小となっていないか？</t>
    </r>
    <r>
      <rPr>
        <sz val="10"/>
        <rFont val="ＭＳ Ｐゴシック"/>
        <family val="3"/>
        <charset val="128"/>
      </rPr>
      <t xml:space="preserve">
　</t>
    </r>
    <r>
      <rPr>
        <b/>
        <sz val="10"/>
        <rFont val="ＭＳ Ｐゴシック"/>
        <family val="3"/>
        <charset val="128"/>
      </rPr>
      <t>②「工事費」シートの「下請」入力欄において、「労務費」より「社員等従業員給料手当」が大きい場合は①を要確認</t>
    </r>
    <rPh sb="99" eb="102">
      <t>ロウムヒ</t>
    </rPh>
    <rPh sb="103" eb="105">
      <t>カショウ</t>
    </rPh>
    <rPh sb="127" eb="129">
      <t>シタウケ</t>
    </rPh>
    <rPh sb="130" eb="132">
      <t>ニュウリョク</t>
    </rPh>
    <rPh sb="132" eb="133">
      <t>ラン</t>
    </rPh>
    <rPh sb="139" eb="142">
      <t>ロウムヒ</t>
    </rPh>
    <rPh sb="146" eb="148">
      <t>シャイン</t>
    </rPh>
    <rPh sb="148" eb="149">
      <t>トウ</t>
    </rPh>
    <rPh sb="149" eb="152">
      <t>ジュウギョウイン</t>
    </rPh>
    <rPh sb="152" eb="154">
      <t>キュウリョウ</t>
    </rPh>
    <rPh sb="154" eb="156">
      <t>テアテ</t>
    </rPh>
    <rPh sb="158" eb="159">
      <t>オオ</t>
    </rPh>
    <rPh sb="161" eb="163">
      <t>バアイ</t>
    </rPh>
    <rPh sb="166" eb="167">
      <t>ヨウ</t>
    </rPh>
    <rPh sb="167" eb="169">
      <t>カクニン</t>
    </rPh>
    <phoneticPr fontId="5"/>
  </si>
  <si>
    <t>1.金額は「千円」単位での入力になっているか？
2.発注ファイルの入力金額は正しいか？
3.元請ファイルの入力金額は正しいか？
　①共通仮設費との二重計上はないか？
　②計上漏れはないか？</t>
    <rPh sb="66" eb="68">
      <t>キョウツウ</t>
    </rPh>
    <rPh sb="68" eb="71">
      <t>カセツヒ</t>
    </rPh>
    <rPh sb="85" eb="87">
      <t>ケイジョウ</t>
    </rPh>
    <rPh sb="87" eb="88">
      <t>モ</t>
    </rPh>
    <phoneticPr fontId="5"/>
  </si>
  <si>
    <t>　(７)その他
　　　元請ファイルは、貸与機械等現場
　　　修理・管理費+直接経費+特殊経費</t>
    <rPh sb="6" eb="7">
      <t>タ</t>
    </rPh>
    <phoneticPr fontId="5"/>
  </si>
  <si>
    <t>機械器具等損料</t>
    <rPh sb="2" eb="3">
      <t>ウツワ</t>
    </rPh>
    <phoneticPr fontId="4"/>
  </si>
  <si>
    <r>
      <t>受発注で労務費の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7">
      <t>ロウムヒ</t>
    </rPh>
    <rPh sb="8" eb="10">
      <t>キンガク</t>
    </rPh>
    <rPh sb="10" eb="11">
      <t>サ</t>
    </rPh>
    <rPh sb="12" eb="13">
      <t>オオ</t>
    </rPh>
    <rPh sb="17" eb="19">
      <t>モトウケ</t>
    </rPh>
    <rPh sb="23" eb="25">
      <t>ジッセキ</t>
    </rPh>
    <rPh sb="25" eb="26">
      <t>ガク</t>
    </rPh>
    <rPh sb="27" eb="29">
      <t>カショウ</t>
    </rPh>
    <phoneticPr fontId="5"/>
  </si>
  <si>
    <t>元請：一般管理費等が大きい</t>
    <rPh sb="0" eb="2">
      <t>モトウケ</t>
    </rPh>
    <rPh sb="3" eb="5">
      <t>イッパン</t>
    </rPh>
    <rPh sb="5" eb="7">
      <t>カンリ</t>
    </rPh>
    <rPh sb="7" eb="8">
      <t>ヒ</t>
    </rPh>
    <rPh sb="8" eb="9">
      <t>トウ</t>
    </rPh>
    <phoneticPr fontId="5"/>
  </si>
  <si>
    <t>-</t>
    <phoneticPr fontId="5"/>
  </si>
  <si>
    <r>
      <t xml:space="preserve">④鋼橋等工場製作費
</t>
    </r>
    <r>
      <rPr>
        <sz val="9"/>
        <rFont val="ＭＳ Ｐゴシック"/>
        <family val="3"/>
        <charset val="128"/>
      </rPr>
      <t>(電気通信設備工事の場合は、機器単体費)</t>
    </r>
    <rPh sb="13" eb="15">
      <t>ツウシン</t>
    </rPh>
    <rPh sb="15" eb="17">
      <t>セツビ</t>
    </rPh>
    <rPh sb="26" eb="28">
      <t>タンタイ</t>
    </rPh>
    <phoneticPr fontId="5"/>
  </si>
  <si>
    <t>⑤別途調査等工事価格</t>
    <phoneticPr fontId="5"/>
  </si>
  <si>
    <r>
      <t>発注ファイル及び元請ファイルの鋼橋等工場製作費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15" eb="16">
      <t>コウ</t>
    </rPh>
    <rPh sb="16" eb="18">
      <t>バシナド</t>
    </rPh>
    <rPh sb="18" eb="20">
      <t>コウジョウ</t>
    </rPh>
    <rPh sb="20" eb="23">
      <t>セイサクヒ</t>
    </rPh>
    <phoneticPr fontId="5"/>
  </si>
  <si>
    <t>共通仮設費積算対象金額(自動計算値)</t>
    <rPh sb="12" eb="14">
      <t>ジドウ</t>
    </rPh>
    <rPh sb="14" eb="16">
      <t>ケイサン</t>
    </rPh>
    <rPh sb="16" eb="17">
      <t>アタイ</t>
    </rPh>
    <phoneticPr fontId="5"/>
  </si>
  <si>
    <r>
      <t>※</t>
    </r>
    <r>
      <rPr>
        <sz val="9"/>
        <rFont val="ＭＳ Ｐゴシック"/>
        <family val="3"/>
        <charset val="128"/>
      </rPr>
      <t>共通仮設費積算対象金額の自動計算値は、下記により算出しています。
　「①直接工事費」＋「(2)支給材料費」＋「(5)無償貸付機械等評価額」＋「ハ事業損失防止施設費」
　+「ロ準備費B処分費」－「共通仮設費の対象額に含めない費用」
　入力した金額と自動計算値にひらきがある場合、上記の各金額を確認してください。</t>
    </r>
    <rPh sb="117" eb="119">
      <t>ニュウリョク</t>
    </rPh>
    <rPh sb="121" eb="123">
      <t>キンガク</t>
    </rPh>
    <rPh sb="124" eb="126">
      <t>ジドウ</t>
    </rPh>
    <rPh sb="126" eb="129">
      <t>ケイサンチ</t>
    </rPh>
    <rPh sb="136" eb="138">
      <t>バアイ</t>
    </rPh>
    <rPh sb="139" eb="141">
      <t>ジョウキ</t>
    </rPh>
    <rPh sb="142" eb="143">
      <t>カク</t>
    </rPh>
    <rPh sb="143" eb="145">
      <t>キンガク</t>
    </rPh>
    <rPh sb="146" eb="148">
      <t>カクニン</t>
    </rPh>
    <phoneticPr fontId="4"/>
  </si>
  <si>
    <t>外注一般管理費等が大きい</t>
    <rPh sb="0" eb="2">
      <t>ガイチュウ</t>
    </rPh>
    <rPh sb="2" eb="4">
      <t>イッパン</t>
    </rPh>
    <rPh sb="4" eb="7">
      <t>カンリヒ</t>
    </rPh>
    <rPh sb="7" eb="8">
      <t>トウ</t>
    </rPh>
    <rPh sb="9" eb="10">
      <t>オオ</t>
    </rPh>
    <phoneticPr fontId="5"/>
  </si>
  <si>
    <t>元請：一般管理費等が小さい（マイナス）</t>
    <rPh sb="0" eb="2">
      <t>モトウケ</t>
    </rPh>
    <rPh sb="3" eb="5">
      <t>イッパン</t>
    </rPh>
    <rPh sb="5" eb="7">
      <t>カンリ</t>
    </rPh>
    <rPh sb="7" eb="8">
      <t>ヒ</t>
    </rPh>
    <rPh sb="8" eb="9">
      <t>トウ</t>
    </rPh>
    <rPh sb="10" eb="11">
      <t>チイ</t>
    </rPh>
    <phoneticPr fontId="5"/>
  </si>
  <si>
    <t>器機材</t>
    <rPh sb="1" eb="2">
      <t>キキ</t>
    </rPh>
    <rPh sb="2" eb="3">
      <t>ザイ</t>
    </rPh>
    <phoneticPr fontId="5"/>
  </si>
  <si>
    <t>現場内小運搬</t>
    <rPh sb="0" eb="2">
      <t>ゲンバ</t>
    </rPh>
    <rPh sb="2" eb="3">
      <t>ナイ</t>
    </rPh>
    <rPh sb="3" eb="4">
      <t>ショウ</t>
    </rPh>
    <rPh sb="4" eb="6">
      <t>ウンパン</t>
    </rPh>
    <phoneticPr fontId="5"/>
  </si>
  <si>
    <t>③一般管理費等</t>
    <rPh sb="1" eb="3">
      <t>イッパン</t>
    </rPh>
    <rPh sb="3" eb="6">
      <t>カンリヒ</t>
    </rPh>
    <rPh sb="6" eb="7">
      <t>ナド</t>
    </rPh>
    <phoneticPr fontId="5"/>
  </si>
  <si>
    <t>整理番号</t>
    <rPh sb="0" eb="2">
      <t>セイリ</t>
    </rPh>
    <rPh sb="2" eb="4">
      <t>バンゴウ</t>
    </rPh>
    <phoneticPr fontId="5"/>
  </si>
  <si>
    <t>その他の場合入力</t>
    <rPh sb="0" eb="3">
      <t>ソノタ</t>
    </rPh>
    <rPh sb="4" eb="6">
      <t>バアイ</t>
    </rPh>
    <rPh sb="6" eb="8">
      <t>ニュウリョク</t>
    </rPh>
    <phoneticPr fontId="6"/>
  </si>
  <si>
    <t>YESの場合：理由を入力</t>
    <phoneticPr fontId="6"/>
  </si>
  <si>
    <t>YESの場合：理由を入力</t>
    <phoneticPr fontId="6"/>
  </si>
  <si>
    <t>３．用地取得　　　　４．地元説明　　　　　　　　　　　　　　　　　理由４：</t>
    <rPh sb="2" eb="4">
      <t>ヨウチ</t>
    </rPh>
    <rPh sb="4" eb="6">
      <t>シュトク</t>
    </rPh>
    <rPh sb="12" eb="14">
      <t>ジモト</t>
    </rPh>
    <rPh sb="14" eb="16">
      <t>セツメイ</t>
    </rPh>
    <phoneticPr fontId="5"/>
  </si>
  <si>
    <t>日々回送による運搬</t>
    <phoneticPr fontId="5"/>
  </si>
  <si>
    <t>貨物自動車等 による運搬</t>
    <phoneticPr fontId="5"/>
  </si>
  <si>
    <t>２．入力の順番</t>
    <rPh sb="5" eb="7">
      <t>ジュンバン</t>
    </rPh>
    <phoneticPr fontId="5"/>
  </si>
  <si>
    <t>ｼｰﾄを選択して入力して下さい。</t>
    <rPh sb="4" eb="6">
      <t>センタク</t>
    </rPh>
    <rPh sb="8" eb="10">
      <t>ニュウリョク</t>
    </rPh>
    <rPh sb="10" eb="13">
      <t>シテクダ</t>
    </rPh>
    <phoneticPr fontId="10"/>
  </si>
  <si>
    <t>フリガナ</t>
    <phoneticPr fontId="4"/>
  </si>
  <si>
    <t>請負業者名</t>
    <rPh sb="0" eb="2">
      <t>ウケオ</t>
    </rPh>
    <rPh sb="2" eb="4">
      <t>ギョウシャ</t>
    </rPh>
    <rPh sb="4" eb="5">
      <t>メイ</t>
    </rPh>
    <phoneticPr fontId="4"/>
  </si>
  <si>
    <t>有無</t>
    <phoneticPr fontId="5"/>
  </si>
  <si>
    <t>昼夜</t>
    <rPh sb="0" eb="1">
      <t>ヒル</t>
    </rPh>
    <rPh sb="1" eb="2">
      <t>ヨル</t>
    </rPh>
    <phoneticPr fontId="5"/>
  </si>
  <si>
    <t>施工箇所</t>
    <rPh sb="0" eb="2">
      <t>セコウ</t>
    </rPh>
    <rPh sb="2" eb="4">
      <t>カショ</t>
    </rPh>
    <phoneticPr fontId="5"/>
  </si>
  <si>
    <t>Yes/No</t>
    <phoneticPr fontId="5"/>
  </si>
  <si>
    <t>施工地域特性</t>
    <rPh sb="0" eb="2">
      <t>セコウ</t>
    </rPh>
    <rPh sb="2" eb="4">
      <t>チイキ</t>
    </rPh>
    <rPh sb="4" eb="6">
      <t>トクセイ</t>
    </rPh>
    <phoneticPr fontId="5"/>
  </si>
  <si>
    <t>有</t>
    <rPh sb="0" eb="1">
      <t>ア</t>
    </rPh>
    <phoneticPr fontId="5"/>
  </si>
  <si>
    <t>昼間施工</t>
    <rPh sb="0" eb="2">
      <t>チュウカン</t>
    </rPh>
    <rPh sb="2" eb="4">
      <t>セコウ</t>
    </rPh>
    <phoneticPr fontId="5"/>
  </si>
  <si>
    <t>路上</t>
    <rPh sb="0" eb="2">
      <t>ロジョウ</t>
    </rPh>
    <phoneticPr fontId="5"/>
  </si>
  <si>
    <t>日々運搬回送</t>
    <rPh sb="0" eb="2">
      <t>ヒビ</t>
    </rPh>
    <rPh sb="2" eb="4">
      <t>ウンパン</t>
    </rPh>
    <rPh sb="4" eb="6">
      <t>カイソウ</t>
    </rPh>
    <phoneticPr fontId="5"/>
  </si>
  <si>
    <t>Yes</t>
    <phoneticPr fontId="5"/>
  </si>
  <si>
    <t>市街地</t>
    <rPh sb="0" eb="3">
      <t>シガイチ</t>
    </rPh>
    <phoneticPr fontId="5"/>
  </si>
  <si>
    <t>無</t>
    <rPh sb="0" eb="1">
      <t>ナ</t>
    </rPh>
    <phoneticPr fontId="5"/>
  </si>
  <si>
    <t>夜間施工</t>
    <rPh sb="0" eb="2">
      <t>ヤカン</t>
    </rPh>
    <rPh sb="2" eb="4">
      <t>セコウ</t>
    </rPh>
    <phoneticPr fontId="5"/>
  </si>
  <si>
    <t>保管場所あり</t>
    <rPh sb="0" eb="2">
      <t>ホカン</t>
    </rPh>
    <rPh sb="2" eb="4">
      <t>バショ</t>
    </rPh>
    <phoneticPr fontId="5"/>
  </si>
  <si>
    <t>No</t>
    <phoneticPr fontId="5"/>
  </si>
  <si>
    <t>山間僻地及び離島</t>
    <rPh sb="0" eb="2">
      <t>サンカン</t>
    </rPh>
    <rPh sb="2" eb="4">
      <t>ヘキチ</t>
    </rPh>
    <rPh sb="4" eb="5">
      <t>オヨ</t>
    </rPh>
    <rPh sb="6" eb="8">
      <t>リトウ</t>
    </rPh>
    <phoneticPr fontId="5"/>
  </si>
  <si>
    <t>地方部（施工場所が一般交通等の影響を受ける地区）</t>
    <rPh sb="0" eb="3">
      <t>チホウブ</t>
    </rPh>
    <rPh sb="4" eb="6">
      <t>セコウ</t>
    </rPh>
    <rPh sb="6" eb="8">
      <t>バショ</t>
    </rPh>
    <rPh sb="9" eb="11">
      <t>イッパン</t>
    </rPh>
    <rPh sb="11" eb="13">
      <t>コウツウ</t>
    </rPh>
    <rPh sb="13" eb="14">
      <t>トウ</t>
    </rPh>
    <rPh sb="15" eb="17">
      <t>エイキョウ</t>
    </rPh>
    <rPh sb="18" eb="19">
      <t>ウ</t>
    </rPh>
    <rPh sb="21" eb="23">
      <t>チク</t>
    </rPh>
    <phoneticPr fontId="5"/>
  </si>
  <si>
    <t>地方部（施工場所が一般交通等の影響を受けない地区）</t>
    <rPh sb="0" eb="3">
      <t>チホウブ</t>
    </rPh>
    <rPh sb="4" eb="6">
      <t>セコウ</t>
    </rPh>
    <rPh sb="6" eb="8">
      <t>バショ</t>
    </rPh>
    <rPh sb="9" eb="11">
      <t>イッパン</t>
    </rPh>
    <rPh sb="11" eb="13">
      <t>コウツウ</t>
    </rPh>
    <rPh sb="13" eb="14">
      <t>トウ</t>
    </rPh>
    <rPh sb="15" eb="17">
      <t>エイキョウ</t>
    </rPh>
    <rPh sb="18" eb="19">
      <t>ウ</t>
    </rPh>
    <rPh sb="22" eb="24">
      <t>チク</t>
    </rPh>
    <phoneticPr fontId="5"/>
  </si>
  <si>
    <t>(単位：千円)</t>
    <phoneticPr fontId="4"/>
  </si>
  <si>
    <t>（</t>
    <phoneticPr fontId="6"/>
  </si>
  <si>
    <t>日）</t>
    <phoneticPr fontId="6"/>
  </si>
  <si>
    <t>回）</t>
    <phoneticPr fontId="6"/>
  </si>
  <si>
    <t>構成比率</t>
    <rPh sb="0" eb="2">
      <t>コウセイ</t>
    </rPh>
    <rPh sb="2" eb="4">
      <t>ヒリツ</t>
    </rPh>
    <phoneticPr fontId="5"/>
  </si>
  <si>
    <r>
      <t xml:space="preserve">鋼橋等工場製作費
</t>
    </r>
    <r>
      <rPr>
        <sz val="10"/>
        <rFont val="ＭＳ Ｐゴシック"/>
        <family val="3"/>
        <charset val="128"/>
      </rPr>
      <t>（電気通信設備工事の場合は、機器単体費）</t>
    </r>
    <rPh sb="12" eb="14">
      <t>ツウシン</t>
    </rPh>
    <rPh sb="14" eb="16">
      <t>セツビ</t>
    </rPh>
    <rPh sb="23" eb="25">
      <t>キキ</t>
    </rPh>
    <rPh sb="25" eb="27">
      <t>タンタイ</t>
    </rPh>
    <rPh sb="27" eb="28">
      <t>ヒ</t>
    </rPh>
    <phoneticPr fontId="4"/>
  </si>
  <si>
    <t>積算に用いた一時中止に伴い増加する現場経費率</t>
    <rPh sb="0" eb="2">
      <t>セキサン</t>
    </rPh>
    <rPh sb="3" eb="4">
      <t>モチ</t>
    </rPh>
    <rPh sb="6" eb="8">
      <t>イチジ</t>
    </rPh>
    <rPh sb="8" eb="10">
      <t>チュウシ</t>
    </rPh>
    <rPh sb="11" eb="12">
      <t>トモナ</t>
    </rPh>
    <rPh sb="13" eb="15">
      <t>ゾウカ</t>
    </rPh>
    <rPh sb="17" eb="19">
      <t>ゲンバ</t>
    </rPh>
    <rPh sb="19" eb="21">
      <t>ケイヒ</t>
    </rPh>
    <rPh sb="21" eb="22">
      <t>リツ</t>
    </rPh>
    <phoneticPr fontId="5"/>
  </si>
  <si>
    <t>ｍ）</t>
    <phoneticPr fontId="5"/>
  </si>
  <si>
    <t>％）</t>
    <phoneticPr fontId="5"/>
  </si>
  <si>
    <t>（</t>
    <phoneticPr fontId="6"/>
  </si>
  <si>
    <t>YESの場合：理由を入力</t>
    <rPh sb="10" eb="12">
      <t>ニュウリョク</t>
    </rPh>
    <phoneticPr fontId="6"/>
  </si>
  <si>
    <t>1.金額は「千円」単位での入力になっているか？
2.発注ファイルの入力金額は正しいか？
3.元請ファイルの入力金額は正しいか？
4.工場製作費（機器単体費）と材料費の二重計上はないか？</t>
    <rPh sb="66" eb="68">
      <t>コウジョウ</t>
    </rPh>
    <rPh sb="68" eb="71">
      <t>セイサクヒ</t>
    </rPh>
    <rPh sb="72" eb="74">
      <t>キキ</t>
    </rPh>
    <rPh sb="74" eb="76">
      <t>タンタイ</t>
    </rPh>
    <rPh sb="76" eb="77">
      <t>ヒ</t>
    </rPh>
    <rPh sb="79" eb="82">
      <t>ザイリョウヒ</t>
    </rPh>
    <rPh sb="83" eb="85">
      <t>ニジュウ</t>
    </rPh>
    <rPh sb="85" eb="87">
      <t>ケイジョウ</t>
    </rPh>
    <phoneticPr fontId="5"/>
  </si>
  <si>
    <t>機器間接費</t>
    <rPh sb="0" eb="2">
      <t>キキ</t>
    </rPh>
    <phoneticPr fontId="5"/>
  </si>
  <si>
    <t>要確認78</t>
    <phoneticPr fontId="5"/>
  </si>
  <si>
    <r>
      <t>発注ファイル及び元請ファイルの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15" eb="17">
      <t>キキ</t>
    </rPh>
    <rPh sb="17" eb="19">
      <t>カンセツ</t>
    </rPh>
    <rPh sb="19" eb="20">
      <t>ヒ</t>
    </rPh>
    <phoneticPr fontId="5"/>
  </si>
  <si>
    <t>機器間接費を入力して下さい</t>
    <rPh sb="0" eb="2">
      <t>キキ</t>
    </rPh>
    <rPh sb="2" eb="4">
      <t>カンセツ</t>
    </rPh>
    <rPh sb="4" eb="5">
      <t>ヒ</t>
    </rPh>
    <phoneticPr fontId="5"/>
  </si>
  <si>
    <t>高速以外</t>
    <rPh sb="0" eb="2">
      <t>コウソク</t>
    </rPh>
    <rPh sb="2" eb="4">
      <t>イガイ</t>
    </rPh>
    <phoneticPr fontId="5"/>
  </si>
  <si>
    <t>鋼橋等工場製作費</t>
    <phoneticPr fontId="5"/>
  </si>
  <si>
    <r>
      <t>発注ファイル及び元請ファイルの鋼橋等工場製作費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15" eb="16">
      <t>コウ</t>
    </rPh>
    <rPh sb="16" eb="18">
      <t>バシナド</t>
    </rPh>
    <rPh sb="18" eb="20">
      <t>コウジョウ</t>
    </rPh>
    <rPh sb="20" eb="23">
      <t>セイサクヒ</t>
    </rPh>
    <phoneticPr fontId="5"/>
  </si>
  <si>
    <r>
      <t>発注ファイルの鋼橋等工場製作費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7" eb="8">
      <t>コウ</t>
    </rPh>
    <rPh sb="8" eb="10">
      <t>バシナド</t>
    </rPh>
    <rPh sb="10" eb="12">
      <t>コウジョウ</t>
    </rPh>
    <rPh sb="12" eb="15">
      <t>セイサクヒ</t>
    </rPh>
    <phoneticPr fontId="5"/>
  </si>
  <si>
    <r>
      <t>元請ファイルの鋼橋等工場製作費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0" eb="2">
      <t>モトウケ</t>
    </rPh>
    <rPh sb="7" eb="8">
      <t>コウ</t>
    </rPh>
    <rPh sb="8" eb="10">
      <t>バシナド</t>
    </rPh>
    <rPh sb="10" eb="12">
      <t>コウジョウ</t>
    </rPh>
    <rPh sb="12" eb="15">
      <t>セイサクヒ</t>
    </rPh>
    <phoneticPr fontId="5"/>
  </si>
  <si>
    <r>
      <t>受発注で鋼橋等工場製作費</t>
    </r>
    <r>
      <rPr>
        <sz val="11"/>
        <rFont val="ＭＳ Ｐゴシック"/>
        <family val="3"/>
        <charset val="128"/>
      </rPr>
      <t xml:space="preserve">の金額差が大きい
</t>
    </r>
    <r>
      <rPr>
        <b/>
        <sz val="11"/>
        <rFont val="ＭＳ Ｐゴシック"/>
        <family val="3"/>
        <charset val="128"/>
      </rPr>
      <t>（元請ファイル実績額の過大）</t>
    </r>
    <rPh sb="0" eb="3">
      <t>ジュハッチュウ</t>
    </rPh>
    <rPh sb="4" eb="5">
      <t>コウ</t>
    </rPh>
    <rPh sb="5" eb="7">
      <t>バシナド</t>
    </rPh>
    <rPh sb="7" eb="9">
      <t>コウジョウ</t>
    </rPh>
    <rPh sb="9" eb="12">
      <t>セイサクヒ</t>
    </rPh>
    <rPh sb="13" eb="15">
      <t>キンガク</t>
    </rPh>
    <rPh sb="15" eb="16">
      <t>サ</t>
    </rPh>
    <rPh sb="17" eb="18">
      <t>オオ</t>
    </rPh>
    <rPh sb="22" eb="24">
      <t>モトウケ</t>
    </rPh>
    <rPh sb="28" eb="30">
      <t>ジッセキ</t>
    </rPh>
    <rPh sb="30" eb="31">
      <t>ガク</t>
    </rPh>
    <rPh sb="32" eb="34">
      <t>カダイ</t>
    </rPh>
    <phoneticPr fontId="5"/>
  </si>
  <si>
    <r>
      <t>F</t>
    </r>
    <r>
      <rPr>
        <sz val="11"/>
        <rFont val="ＭＳ Ｐゴシック"/>
        <family val="3"/>
        <charset val="128"/>
      </rPr>
      <t>AX</t>
    </r>
    <phoneticPr fontId="4"/>
  </si>
  <si>
    <t>材料費</t>
  </si>
  <si>
    <t>労務費</t>
  </si>
  <si>
    <t>ロ</t>
  </si>
  <si>
    <t>ニ</t>
  </si>
  <si>
    <t>ホ</t>
  </si>
  <si>
    <t>ヘ</t>
  </si>
  <si>
    <t>ト</t>
  </si>
  <si>
    <t>チ</t>
  </si>
  <si>
    <t>　　　　　例）　①直接工事費 ： 受注者の金額が発注者の積算に対して過小　→　確認結果 ： 材料の安価購入（元請に確認）　</t>
    <rPh sb="5" eb="6">
      <t>レイ</t>
    </rPh>
    <rPh sb="9" eb="11">
      <t>チョクセツ</t>
    </rPh>
    <rPh sb="11" eb="14">
      <t>コウジヒ</t>
    </rPh>
    <rPh sb="17" eb="20">
      <t>ジュチュウシャ</t>
    </rPh>
    <rPh sb="21" eb="23">
      <t>キンガク</t>
    </rPh>
    <rPh sb="24" eb="27">
      <t>ハッチュウシャ</t>
    </rPh>
    <rPh sb="28" eb="30">
      <t>セキサン</t>
    </rPh>
    <rPh sb="31" eb="32">
      <t>タイ</t>
    </rPh>
    <rPh sb="34" eb="36">
      <t>カショウ</t>
    </rPh>
    <rPh sb="39" eb="41">
      <t>カクニン</t>
    </rPh>
    <rPh sb="41" eb="43">
      <t>ケッカ</t>
    </rPh>
    <rPh sb="46" eb="48">
      <t>ザイリョウ</t>
    </rPh>
    <rPh sb="49" eb="51">
      <t>アンカ</t>
    </rPh>
    <rPh sb="51" eb="53">
      <t>コウニュウ</t>
    </rPh>
    <rPh sb="54" eb="56">
      <t>モトウケ</t>
    </rPh>
    <rPh sb="57" eb="59">
      <t>カクニン</t>
    </rPh>
    <phoneticPr fontId="5"/>
  </si>
  <si>
    <t>1.金額は「千円」単位での入力になっているか？
2.発注ファイルの入力金額は正しいか？
3.元請ファイルの入力金額は正しいか？</t>
    <phoneticPr fontId="5"/>
  </si>
  <si>
    <r>
      <t>受発注で補償費の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ホショウ</t>
    </rPh>
    <rPh sb="6" eb="7">
      <t>ヒ</t>
    </rPh>
    <rPh sb="8" eb="10">
      <t>キンガク</t>
    </rPh>
    <rPh sb="10" eb="11">
      <t>サ</t>
    </rPh>
    <rPh sb="12" eb="13">
      <t>オオ</t>
    </rPh>
    <rPh sb="17" eb="19">
      <t>モトウケ</t>
    </rPh>
    <rPh sb="23" eb="25">
      <t>ジッセキ</t>
    </rPh>
    <rPh sb="25" eb="26">
      <t>ガク</t>
    </rPh>
    <rPh sb="27" eb="29">
      <t>カショウ</t>
    </rPh>
    <phoneticPr fontId="5"/>
  </si>
  <si>
    <t>現場管理費</t>
    <rPh sb="0" eb="2">
      <t>ゲンバ</t>
    </rPh>
    <rPh sb="2" eb="4">
      <t>カンリ</t>
    </rPh>
    <rPh sb="4" eb="5">
      <t>ヒ</t>
    </rPh>
    <phoneticPr fontId="5"/>
  </si>
  <si>
    <r>
      <t>発注ファイル及び元請ファイルの現場管理費が</t>
    </r>
    <r>
      <rPr>
        <b/>
        <sz val="11"/>
        <rFont val="ＭＳ Ｐゴシック"/>
        <family val="3"/>
        <charset val="128"/>
      </rPr>
      <t>未入力</t>
    </r>
    <r>
      <rPr>
        <sz val="11"/>
        <rFont val="ＭＳ Ｐゴシック"/>
        <family val="3"/>
        <charset val="128"/>
      </rPr>
      <t/>
    </r>
    <rPh sb="15" eb="17">
      <t>ゲンバ</t>
    </rPh>
    <rPh sb="17" eb="20">
      <t>カンリヒ</t>
    </rPh>
    <phoneticPr fontId="5"/>
  </si>
  <si>
    <t>現場管理費を入力して下さい</t>
    <rPh sb="0" eb="2">
      <t>ゲンバ</t>
    </rPh>
    <rPh sb="2" eb="5">
      <t>カンリヒ</t>
    </rPh>
    <phoneticPr fontId="5"/>
  </si>
  <si>
    <r>
      <t>発注ファイルの現場管理費が</t>
    </r>
    <r>
      <rPr>
        <b/>
        <sz val="11"/>
        <rFont val="ＭＳ Ｐゴシック"/>
        <family val="3"/>
        <charset val="128"/>
      </rPr>
      <t>未入力</t>
    </r>
    <r>
      <rPr>
        <sz val="11"/>
        <rFont val="ＭＳ Ｐゴシック"/>
        <family val="3"/>
        <charset val="128"/>
      </rPr>
      <t/>
    </r>
    <rPh sb="7" eb="9">
      <t>ゲンバ</t>
    </rPh>
    <rPh sb="9" eb="12">
      <t>カンリヒ</t>
    </rPh>
    <phoneticPr fontId="5"/>
  </si>
  <si>
    <r>
      <t>元請ファイルの現場管理費が</t>
    </r>
    <r>
      <rPr>
        <b/>
        <sz val="11"/>
        <rFont val="ＭＳ Ｐゴシック"/>
        <family val="3"/>
        <charset val="128"/>
      </rPr>
      <t>未入力</t>
    </r>
    <r>
      <rPr>
        <sz val="11"/>
        <rFont val="ＭＳ Ｐゴシック"/>
        <family val="3"/>
        <charset val="128"/>
      </rPr>
      <t/>
    </r>
    <rPh sb="0" eb="2">
      <t>モトウケ</t>
    </rPh>
    <rPh sb="7" eb="9">
      <t>ゲンバ</t>
    </rPh>
    <rPh sb="9" eb="12">
      <t>カンリヒ</t>
    </rPh>
    <phoneticPr fontId="5"/>
  </si>
  <si>
    <r>
      <t>発注ファイルの現場管理費が</t>
    </r>
    <r>
      <rPr>
        <b/>
        <sz val="11"/>
        <rFont val="ＭＳ Ｐゴシック"/>
        <family val="3"/>
        <charset val="128"/>
      </rPr>
      <t>「0」</t>
    </r>
    <rPh sb="7" eb="9">
      <t>ゲンバ</t>
    </rPh>
    <rPh sb="9" eb="12">
      <t>カンリヒ</t>
    </rPh>
    <phoneticPr fontId="5"/>
  </si>
  <si>
    <r>
      <t>元請ファイルの現場管理費が</t>
    </r>
    <r>
      <rPr>
        <b/>
        <sz val="11"/>
        <rFont val="ＭＳ Ｐゴシック"/>
        <family val="3"/>
        <charset val="128"/>
      </rPr>
      <t>「0」</t>
    </r>
    <rPh sb="0" eb="2">
      <t>モトウケ</t>
    </rPh>
    <rPh sb="7" eb="9">
      <t>ゲンバ</t>
    </rPh>
    <rPh sb="9" eb="12">
      <t>カンリヒ</t>
    </rPh>
    <phoneticPr fontId="5"/>
  </si>
  <si>
    <r>
      <t>受発注で現場管理費の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ゲンバ</t>
    </rPh>
    <rPh sb="6" eb="9">
      <t>カンリヒ</t>
    </rPh>
    <rPh sb="10" eb="12">
      <t>キンガク</t>
    </rPh>
    <rPh sb="12" eb="13">
      <t>サ</t>
    </rPh>
    <rPh sb="14" eb="15">
      <t>オオ</t>
    </rPh>
    <rPh sb="19" eb="21">
      <t>モトウケ</t>
    </rPh>
    <rPh sb="25" eb="27">
      <t>ジッセキ</t>
    </rPh>
    <rPh sb="27" eb="28">
      <t>ガク</t>
    </rPh>
    <rPh sb="29" eb="31">
      <t>カダイ</t>
    </rPh>
    <phoneticPr fontId="5"/>
  </si>
  <si>
    <r>
      <t>受発注で共通仮設費（積上げ）の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2">
      <t>ツミア</t>
    </rPh>
    <rPh sb="15" eb="17">
      <t>キンガク</t>
    </rPh>
    <rPh sb="17" eb="18">
      <t>サ</t>
    </rPh>
    <rPh sb="19" eb="20">
      <t>オオ</t>
    </rPh>
    <rPh sb="24" eb="26">
      <t>モトウケ</t>
    </rPh>
    <rPh sb="30" eb="32">
      <t>ジッセキ</t>
    </rPh>
    <rPh sb="32" eb="33">
      <t>ガク</t>
    </rPh>
    <rPh sb="34" eb="36">
      <t>カダイ</t>
    </rPh>
    <phoneticPr fontId="5"/>
  </si>
  <si>
    <r>
      <t>受発注で共通仮設費（積上げ）の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2">
      <t>ツミア</t>
    </rPh>
    <rPh sb="15" eb="17">
      <t>キンガク</t>
    </rPh>
    <rPh sb="17" eb="18">
      <t>サ</t>
    </rPh>
    <rPh sb="19" eb="20">
      <t>オオ</t>
    </rPh>
    <rPh sb="24" eb="26">
      <t>モトウケ</t>
    </rPh>
    <rPh sb="30" eb="32">
      <t>ジッセキ</t>
    </rPh>
    <rPh sb="32" eb="33">
      <t>ガク</t>
    </rPh>
    <rPh sb="34" eb="36">
      <t>カショウ</t>
    </rPh>
    <phoneticPr fontId="5"/>
  </si>
  <si>
    <t>共通仮設費（率分）</t>
    <rPh sb="0" eb="2">
      <t>キョウツウ</t>
    </rPh>
    <rPh sb="2" eb="5">
      <t>カセツヒ</t>
    </rPh>
    <rPh sb="6" eb="7">
      <t>リツ</t>
    </rPh>
    <rPh sb="7" eb="8">
      <t>ブン</t>
    </rPh>
    <phoneticPr fontId="5"/>
  </si>
  <si>
    <r>
      <t>発注ファイル及び元請ファイルの共通仮設費（率分）が</t>
    </r>
    <r>
      <rPr>
        <b/>
        <sz val="11"/>
        <rFont val="ＭＳ Ｐゴシック"/>
        <family val="3"/>
        <charset val="128"/>
      </rPr>
      <t>未入力</t>
    </r>
    <r>
      <rPr>
        <sz val="11"/>
        <rFont val="ＭＳ Ｐゴシック"/>
        <family val="3"/>
        <charset val="128"/>
      </rPr>
      <t/>
    </r>
    <rPh sb="15" eb="20">
      <t>キョウツウカセツヒ</t>
    </rPh>
    <rPh sb="21" eb="22">
      <t>リツ</t>
    </rPh>
    <rPh sb="22" eb="23">
      <t>ブン</t>
    </rPh>
    <phoneticPr fontId="5"/>
  </si>
  <si>
    <t>4　その他
（下記に具体的に入力してください。）</t>
    <rPh sb="7" eb="9">
      <t>カキ</t>
    </rPh>
    <phoneticPr fontId="5"/>
  </si>
  <si>
    <t>-</t>
    <phoneticPr fontId="5"/>
  </si>
  <si>
    <t>千葉県</t>
    <rPh sb="0" eb="3">
      <t>チバケン</t>
    </rPh>
    <phoneticPr fontId="5"/>
  </si>
  <si>
    <t>埼玉県</t>
    <rPh sb="0" eb="3">
      <t>サイタマケン</t>
    </rPh>
    <phoneticPr fontId="5"/>
  </si>
  <si>
    <t>静岡県</t>
    <rPh sb="0" eb="3">
      <t>シズオカケン</t>
    </rPh>
    <phoneticPr fontId="5"/>
  </si>
  <si>
    <t>新潟県</t>
    <rPh sb="0" eb="3">
      <t>ニイガタケン</t>
    </rPh>
    <phoneticPr fontId="5"/>
  </si>
  <si>
    <t>岡山県</t>
    <rPh sb="0" eb="3">
      <t>オカヤマケン</t>
    </rPh>
    <phoneticPr fontId="5"/>
  </si>
  <si>
    <t>北海道</t>
  </si>
  <si>
    <t>青森県</t>
  </si>
  <si>
    <t>岩手県</t>
  </si>
  <si>
    <t>秋田県</t>
  </si>
  <si>
    <t>福島県</t>
  </si>
  <si>
    <t>栃木県</t>
  </si>
  <si>
    <t>群馬県</t>
  </si>
  <si>
    <t>埼玉県</t>
  </si>
  <si>
    <t>千葉県</t>
  </si>
  <si>
    <t>神奈川県</t>
  </si>
  <si>
    <t>富山県</t>
  </si>
  <si>
    <t>石川県</t>
  </si>
  <si>
    <t>長野県</t>
  </si>
  <si>
    <t>岐阜県</t>
  </si>
  <si>
    <t>愛知県</t>
  </si>
  <si>
    <t>滋賀県</t>
  </si>
  <si>
    <t>大阪府</t>
  </si>
  <si>
    <t>兵庫県</t>
  </si>
  <si>
    <t>奈良県</t>
  </si>
  <si>
    <t>和歌山県</t>
  </si>
  <si>
    <t>岡山県</t>
  </si>
  <si>
    <t>広島県</t>
  </si>
  <si>
    <t>山口県</t>
  </si>
  <si>
    <t>香川県</t>
  </si>
  <si>
    <t>愛媛県</t>
  </si>
  <si>
    <t>高知県</t>
  </si>
  <si>
    <t>福岡県</t>
  </si>
  <si>
    <t>長崎県</t>
  </si>
  <si>
    <t>熊本県</t>
  </si>
  <si>
    <t>大分県</t>
  </si>
  <si>
    <t>宮崎県</t>
  </si>
  <si>
    <t>鹿児島県</t>
  </si>
  <si>
    <t>山形県</t>
  </si>
  <si>
    <t>茨城県</t>
  </si>
  <si>
    <t>新潟県</t>
  </si>
  <si>
    <t>福井県</t>
  </si>
  <si>
    <t>山梨県</t>
  </si>
  <si>
    <r>
      <t>発注ファイル及び元請ファイルの別途調査等工事価格が</t>
    </r>
    <r>
      <rPr>
        <b/>
        <sz val="11"/>
        <rFont val="ＭＳ Ｐゴシック"/>
        <family val="3"/>
        <charset val="128"/>
      </rPr>
      <t>未入力</t>
    </r>
    <r>
      <rPr>
        <sz val="11"/>
        <rFont val="ＭＳ Ｐゴシック"/>
        <family val="3"/>
        <charset val="128"/>
      </rPr>
      <t/>
    </r>
    <rPh sb="15" eb="17">
      <t>ベット</t>
    </rPh>
    <rPh sb="17" eb="20">
      <t>チョウサナド</t>
    </rPh>
    <rPh sb="20" eb="22">
      <t>コウジ</t>
    </rPh>
    <rPh sb="22" eb="24">
      <t>カカク</t>
    </rPh>
    <phoneticPr fontId="5"/>
  </si>
  <si>
    <t>1.発注ファイル：「工事費」シートに戻り、別途調査等工事価格を入力して下さい。（費用がない場合は0を入力して下さい）
2.元請ファイル：「工事費」シートで別途調査等工事価格を入力して下さい。（費用がない場合は0を入力して下さい）</t>
    <phoneticPr fontId="5"/>
  </si>
  <si>
    <r>
      <t>発注ファイルの別途調査等工事価格が</t>
    </r>
    <r>
      <rPr>
        <b/>
        <sz val="11"/>
        <rFont val="ＭＳ Ｐゴシック"/>
        <family val="3"/>
        <charset val="128"/>
      </rPr>
      <t>未入力</t>
    </r>
    <r>
      <rPr>
        <sz val="11"/>
        <rFont val="ＭＳ Ｐゴシック"/>
        <family val="3"/>
        <charset val="128"/>
      </rPr>
      <t/>
    </r>
    <rPh sb="7" eb="9">
      <t>ベット</t>
    </rPh>
    <rPh sb="9" eb="12">
      <t>チョウサナド</t>
    </rPh>
    <rPh sb="12" eb="14">
      <t>コウジ</t>
    </rPh>
    <rPh sb="14" eb="16">
      <t>カカク</t>
    </rPh>
    <phoneticPr fontId="5"/>
  </si>
  <si>
    <r>
      <t>元請ファイルの別途調査等工事価格が</t>
    </r>
    <r>
      <rPr>
        <b/>
        <sz val="11"/>
        <rFont val="ＭＳ Ｐゴシック"/>
        <family val="3"/>
        <charset val="128"/>
      </rPr>
      <t>未入力</t>
    </r>
    <r>
      <rPr>
        <sz val="11"/>
        <rFont val="ＭＳ Ｐゴシック"/>
        <family val="3"/>
        <charset val="128"/>
      </rPr>
      <t/>
    </r>
    <rPh sb="0" eb="2">
      <t>モトウケ</t>
    </rPh>
    <rPh sb="7" eb="9">
      <t>ベット</t>
    </rPh>
    <rPh sb="9" eb="12">
      <t>チョウサナド</t>
    </rPh>
    <rPh sb="12" eb="14">
      <t>コウジ</t>
    </rPh>
    <rPh sb="14" eb="16">
      <t>カカク</t>
    </rPh>
    <phoneticPr fontId="5"/>
  </si>
  <si>
    <t>工事名</t>
    <rPh sb="0" eb="3">
      <t>コウジメイ</t>
    </rPh>
    <phoneticPr fontId="5"/>
  </si>
  <si>
    <t>工事情報</t>
  </si>
  <si>
    <t>(</t>
    <phoneticPr fontId="6"/>
  </si>
  <si>
    <r>
      <t>発注ファイルの直接工事費が</t>
    </r>
    <r>
      <rPr>
        <b/>
        <sz val="11"/>
        <rFont val="ＭＳ Ｐゴシック"/>
        <family val="3"/>
        <charset val="128"/>
      </rPr>
      <t>「０」</t>
    </r>
    <r>
      <rPr>
        <sz val="11"/>
        <rFont val="ＭＳ Ｐゴシック"/>
        <family val="3"/>
        <charset val="128"/>
      </rPr>
      <t/>
    </r>
    <phoneticPr fontId="5"/>
  </si>
  <si>
    <r>
      <t>元請ファイルの直接工事費が</t>
    </r>
    <r>
      <rPr>
        <b/>
        <sz val="11"/>
        <rFont val="ＭＳ Ｐゴシック"/>
        <family val="3"/>
        <charset val="128"/>
      </rPr>
      <t>「０」</t>
    </r>
    <r>
      <rPr>
        <sz val="11"/>
        <rFont val="ＭＳ Ｐゴシック"/>
        <family val="3"/>
        <charset val="128"/>
      </rPr>
      <t/>
    </r>
    <rPh sb="0" eb="2">
      <t>モトウケ</t>
    </rPh>
    <phoneticPr fontId="5"/>
  </si>
  <si>
    <t>1.金額は「千円」単位での入力になっているか？
2.発注ファイルの入力金額は正しいか？
3.元請ファイルの入力金額(材料費、労務費、機械器具等損料等）は正しいか？</t>
    <rPh sb="9" eb="11">
      <t>タンイ</t>
    </rPh>
    <rPh sb="13" eb="15">
      <t>ニュウリョク</t>
    </rPh>
    <rPh sb="38" eb="39">
      <t>タダ</t>
    </rPh>
    <rPh sb="53" eb="55">
      <t>ニュウリョク</t>
    </rPh>
    <rPh sb="55" eb="57">
      <t>キンガク</t>
    </rPh>
    <rPh sb="76" eb="77">
      <t>タダ</t>
    </rPh>
    <phoneticPr fontId="5"/>
  </si>
  <si>
    <t>材料費</t>
    <rPh sb="0" eb="3">
      <t>ザイリョウヒ</t>
    </rPh>
    <phoneticPr fontId="5"/>
  </si>
  <si>
    <r>
      <t>発注ファイル及び元請ファイルの材料費が</t>
    </r>
    <r>
      <rPr>
        <b/>
        <sz val="11"/>
        <rFont val="ＭＳ Ｐゴシック"/>
        <family val="3"/>
        <charset val="128"/>
      </rPr>
      <t>未入力</t>
    </r>
    <r>
      <rPr>
        <sz val="11"/>
        <rFont val="ＭＳ Ｐゴシック"/>
        <family val="3"/>
        <charset val="128"/>
      </rPr>
      <t/>
    </r>
    <rPh sb="15" eb="17">
      <t>ザイリョウ</t>
    </rPh>
    <phoneticPr fontId="5"/>
  </si>
  <si>
    <t>材料費を入力して下さい</t>
    <rPh sb="0" eb="3">
      <t>ザイリョウヒ</t>
    </rPh>
    <rPh sb="8" eb="9">
      <t>クダ</t>
    </rPh>
    <phoneticPr fontId="5"/>
  </si>
  <si>
    <r>
      <t>発注ファイルの材料費が</t>
    </r>
    <r>
      <rPr>
        <b/>
        <sz val="11"/>
        <rFont val="ＭＳ Ｐゴシック"/>
        <family val="3"/>
        <charset val="128"/>
      </rPr>
      <t>未入力</t>
    </r>
    <r>
      <rPr>
        <sz val="11"/>
        <rFont val="ＭＳ Ｐゴシック"/>
        <family val="3"/>
        <charset val="128"/>
      </rPr>
      <t/>
    </r>
    <rPh sb="7" eb="9">
      <t>ザイリョウ</t>
    </rPh>
    <phoneticPr fontId="5"/>
  </si>
  <si>
    <t>確認欄</t>
    <rPh sb="0" eb="2">
      <t>カクニン</t>
    </rPh>
    <rPh sb="2" eb="3">
      <t>ラン</t>
    </rPh>
    <phoneticPr fontId="5"/>
  </si>
  <si>
    <t>※</t>
    <phoneticPr fontId="5"/>
  </si>
  <si>
    <t>E</t>
    <phoneticPr fontId="5"/>
  </si>
  <si>
    <t>単価（円）</t>
  </si>
  <si>
    <t>品目</t>
  </si>
  <si>
    <t>（具体名）</t>
    <rPh sb="1" eb="3">
      <t>グタイ</t>
    </rPh>
    <rPh sb="3" eb="4">
      <t>メイ</t>
    </rPh>
    <phoneticPr fontId="5"/>
  </si>
  <si>
    <t>不明の
とき選択</t>
    <rPh sb="0" eb="2">
      <t>フメイ</t>
    </rPh>
    <rPh sb="6" eb="8">
      <t>センタク</t>
    </rPh>
    <phoneticPr fontId="5"/>
  </si>
  <si>
    <t>○</t>
  </si>
  <si>
    <t>工事種別</t>
    <rPh sb="0" eb="2">
      <t>コウジ</t>
    </rPh>
    <rPh sb="2" eb="4">
      <t>シュベツ</t>
    </rPh>
    <phoneticPr fontId="5"/>
  </si>
  <si>
    <t>難易度</t>
    <rPh sb="0" eb="3">
      <t>ナンイド</t>
    </rPh>
    <phoneticPr fontId="5"/>
  </si>
  <si>
    <t>所管名２</t>
    <rPh sb="0" eb="2">
      <t>ショカン</t>
    </rPh>
    <rPh sb="2" eb="3">
      <t>メイ</t>
    </rPh>
    <phoneticPr fontId="5"/>
  </si>
  <si>
    <t>契約方式【総価契約単価合意方式の場合】</t>
    <rPh sb="0" eb="2">
      <t>ケイヤク</t>
    </rPh>
    <rPh sb="2" eb="4">
      <t>ホウシキ</t>
    </rPh>
    <phoneticPr fontId="5"/>
  </si>
  <si>
    <t>一般競争入札(5.8億円未満)</t>
    <rPh sb="12" eb="14">
      <t>ミマン</t>
    </rPh>
    <phoneticPr fontId="5"/>
  </si>
  <si>
    <t>工種</t>
    <rPh sb="0" eb="2">
      <t>コウシュ</t>
    </rPh>
    <phoneticPr fontId="5"/>
  </si>
  <si>
    <t>20市</t>
    <rPh sb="2" eb="3">
      <t>シ</t>
    </rPh>
    <phoneticPr fontId="5"/>
  </si>
  <si>
    <t>予備</t>
    <rPh sb="0" eb="2">
      <t>ヨビ</t>
    </rPh>
    <phoneticPr fontId="4"/>
  </si>
  <si>
    <t>未入力確認（D～I列）</t>
    <rPh sb="0" eb="3">
      <t>ミニュウリョク</t>
    </rPh>
    <rPh sb="3" eb="5">
      <t>カクニン</t>
    </rPh>
    <rPh sb="9" eb="10">
      <t>レツ</t>
    </rPh>
    <phoneticPr fontId="5"/>
  </si>
  <si>
    <t>未入力確認（K～P列）</t>
    <rPh sb="0" eb="3">
      <t>ミニュウリョク</t>
    </rPh>
    <rPh sb="3" eb="5">
      <t>カクニン</t>
    </rPh>
    <rPh sb="9" eb="10">
      <t>レツ</t>
    </rPh>
    <phoneticPr fontId="5"/>
  </si>
  <si>
    <t>回</t>
    <rPh sb="0" eb="1">
      <t>カイ</t>
    </rPh>
    <phoneticPr fontId="5"/>
  </si>
  <si>
    <t>最終工事請負金額（消費税込）</t>
    <rPh sb="0" eb="2">
      <t>サイシュウ</t>
    </rPh>
    <rPh sb="2" eb="4">
      <t>コウジ</t>
    </rPh>
    <rPh sb="4" eb="6">
      <t>ウケオイ</t>
    </rPh>
    <rPh sb="6" eb="8">
      <t>キンガク</t>
    </rPh>
    <phoneticPr fontId="5"/>
  </si>
  <si>
    <t>一般土木</t>
  </si>
  <si>
    <t>ｱｽﾌｧﾙﾄ舗装</t>
  </si>
  <si>
    <t>鋼橋上部</t>
  </si>
  <si>
    <t>造園</t>
  </si>
  <si>
    <t>セメント・コンクリート舗装</t>
    <rPh sb="11" eb="13">
      <t>ホソウ</t>
    </rPh>
    <phoneticPr fontId="5"/>
  </si>
  <si>
    <t>法面処理</t>
  </si>
  <si>
    <t>塗装</t>
  </si>
  <si>
    <t>維持修繕</t>
  </si>
  <si>
    <t>グラウト</t>
  </si>
  <si>
    <t>杭打</t>
    <rPh sb="0" eb="1">
      <t>クイ</t>
    </rPh>
    <rPh sb="1" eb="2">
      <t>ウチ</t>
    </rPh>
    <phoneticPr fontId="5"/>
  </si>
  <si>
    <t>さく井</t>
  </si>
  <si>
    <t>機械機具等損料</t>
    <rPh sb="0" eb="2">
      <t>キカイ</t>
    </rPh>
    <rPh sb="2" eb="5">
      <t>キグナド</t>
    </rPh>
    <rPh sb="5" eb="7">
      <t>ソンリョウ</t>
    </rPh>
    <phoneticPr fontId="5"/>
  </si>
  <si>
    <r>
      <t>発注ファイル及び元請ファイルの機械器具等損料が</t>
    </r>
    <r>
      <rPr>
        <b/>
        <sz val="11"/>
        <rFont val="ＭＳ Ｐゴシック"/>
        <family val="3"/>
        <charset val="128"/>
      </rPr>
      <t>未入力</t>
    </r>
    <r>
      <rPr>
        <sz val="11"/>
        <rFont val="ＭＳ Ｐゴシック"/>
        <family val="3"/>
        <charset val="128"/>
      </rPr>
      <t/>
    </r>
    <rPh sb="15" eb="17">
      <t>キカイ</t>
    </rPh>
    <rPh sb="17" eb="19">
      <t>キグ</t>
    </rPh>
    <rPh sb="19" eb="20">
      <t>トウ</t>
    </rPh>
    <rPh sb="20" eb="22">
      <t>ソンリョウ</t>
    </rPh>
    <phoneticPr fontId="5"/>
  </si>
  <si>
    <t>機械器具等損料を入力して下さい</t>
    <rPh sb="0" eb="2">
      <t>キカイ</t>
    </rPh>
    <rPh sb="2" eb="4">
      <t>キグ</t>
    </rPh>
    <rPh sb="4" eb="5">
      <t>トウ</t>
    </rPh>
    <rPh sb="5" eb="7">
      <t>ソンリョウ</t>
    </rPh>
    <phoneticPr fontId="5"/>
  </si>
  <si>
    <r>
      <t>発注ファイルの機械器具等損料が</t>
    </r>
    <r>
      <rPr>
        <b/>
        <sz val="11"/>
        <rFont val="ＭＳ Ｐゴシック"/>
        <family val="3"/>
        <charset val="128"/>
      </rPr>
      <t>未入力</t>
    </r>
    <r>
      <rPr>
        <sz val="11"/>
        <rFont val="ＭＳ Ｐゴシック"/>
        <family val="3"/>
        <charset val="128"/>
      </rPr>
      <t/>
    </r>
    <rPh sb="7" eb="9">
      <t>キカイ</t>
    </rPh>
    <rPh sb="9" eb="11">
      <t>キグ</t>
    </rPh>
    <rPh sb="11" eb="12">
      <t>トウ</t>
    </rPh>
    <rPh sb="12" eb="14">
      <t>ソンリョウ</t>
    </rPh>
    <phoneticPr fontId="5"/>
  </si>
  <si>
    <t>メールアドレス</t>
    <phoneticPr fontId="5"/>
  </si>
  <si>
    <t>設定準備期間日数</t>
  </si>
  <si>
    <t>a.</t>
  </si>
  <si>
    <t>b.</t>
  </si>
  <si>
    <t>工種コード</t>
  </si>
  <si>
    <t>一般事項</t>
  </si>
  <si>
    <t>日</t>
  </si>
  <si>
    <t>想定した作業不能の要因</t>
  </si>
  <si>
    <t xml:space="preserve">   =&gt;</t>
    <phoneticPr fontId="5"/>
  </si>
  <si>
    <t xml:space="preserve">   =&gt;</t>
    <phoneticPr fontId="5"/>
  </si>
  <si>
    <r>
      <t>下請工事価格に対して、外注一般管理費等の金額（下請工事価格から工事原価を差し引いた金額）が適切か確認してください。
外注一般管理費等の金額が過大、過小となっている場合は、入力間違いがないか確認してください。</t>
    </r>
    <r>
      <rPr>
        <sz val="12"/>
        <rFont val="ＭＳ Ｐゴシック"/>
        <family val="3"/>
        <charset val="128"/>
      </rPr>
      <t xml:space="preserve">
　</t>
    </r>
    <r>
      <rPr>
        <sz val="12"/>
        <color indexed="12"/>
        <rFont val="ＭＳ Ｐゴシック"/>
        <family val="3"/>
        <charset val="128"/>
      </rPr>
      <t>・直接工事費、間接工事費の計上漏れや二次下請費用の計上漏れ等があると外注一般管理費が大きくなります。
　・二重計上や入力単位（円単位入力）の誤入力があると外注一般管理費が小さく（マイナス）なります。</t>
    </r>
    <phoneticPr fontId="5"/>
  </si>
  <si>
    <t>黄色塗りつぶし部分：入力必要箇所</t>
  </si>
  <si>
    <t>緑色塗りつぶし部分：黄色セルの入力に伴う自動計算（入力不可）</t>
  </si>
  <si>
    <t>その他の部分：シートの書換等を防ぐ為、入力不可にしている。</t>
  </si>
  <si>
    <t>パスワードが要求される場合の対処方法：</t>
  </si>
  <si>
    <t>入力箇所が間違っているためであり、指定箇所（黄色塗りつぶし部分）に入力して下さい。</t>
  </si>
  <si>
    <r>
      <t>元請ファイルの機械器具等損料が</t>
    </r>
    <r>
      <rPr>
        <b/>
        <sz val="11"/>
        <rFont val="ＭＳ Ｐゴシック"/>
        <family val="3"/>
        <charset val="128"/>
      </rPr>
      <t>未入力</t>
    </r>
    <r>
      <rPr>
        <sz val="11"/>
        <rFont val="ＭＳ Ｐゴシック"/>
        <family val="3"/>
        <charset val="128"/>
      </rPr>
      <t/>
    </r>
    <rPh sb="7" eb="9">
      <t>キカイ</t>
    </rPh>
    <rPh sb="9" eb="11">
      <t>キグ</t>
    </rPh>
    <rPh sb="11" eb="12">
      <t>トウ</t>
    </rPh>
    <rPh sb="12" eb="14">
      <t>ソンリョウ</t>
    </rPh>
    <phoneticPr fontId="5"/>
  </si>
  <si>
    <r>
      <t>発注ファイルの機械器具等損料が</t>
    </r>
    <r>
      <rPr>
        <b/>
        <sz val="11"/>
        <rFont val="ＭＳ Ｐゴシック"/>
        <family val="3"/>
        <charset val="128"/>
      </rPr>
      <t>「0」</t>
    </r>
    <rPh sb="7" eb="9">
      <t>キカイ</t>
    </rPh>
    <rPh sb="9" eb="11">
      <t>キグ</t>
    </rPh>
    <rPh sb="11" eb="12">
      <t>トウ</t>
    </rPh>
    <rPh sb="12" eb="14">
      <t>ソンリョウ</t>
    </rPh>
    <phoneticPr fontId="5"/>
  </si>
  <si>
    <t>　　・未入力の件数及び、エラー（Ｅ）の件数が「0」になっていることを確認してください。</t>
    <rPh sb="3" eb="6">
      <t>ミニュウリョク</t>
    </rPh>
    <rPh sb="7" eb="9">
      <t>ケンスウ</t>
    </rPh>
    <rPh sb="9" eb="10">
      <t>オヨ</t>
    </rPh>
    <rPh sb="19" eb="21">
      <t>ケンスウ</t>
    </rPh>
    <rPh sb="34" eb="36">
      <t>カクニン</t>
    </rPh>
    <phoneticPr fontId="5"/>
  </si>
  <si>
    <t>(２)</t>
  </si>
  <si>
    <t>(５)</t>
  </si>
  <si>
    <t>２)</t>
    <phoneticPr fontId="5"/>
  </si>
  <si>
    <t>３)</t>
    <phoneticPr fontId="5"/>
  </si>
  <si>
    <t>Ⅰ</t>
    <phoneticPr fontId="4"/>
  </si>
  <si>
    <r>
      <t>受発注で別途調査等工事価格の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ベット</t>
    </rPh>
    <rPh sb="6" eb="9">
      <t>チョウサナド</t>
    </rPh>
    <rPh sb="9" eb="11">
      <t>コウジ</t>
    </rPh>
    <rPh sb="11" eb="13">
      <t>カカク</t>
    </rPh>
    <rPh sb="14" eb="16">
      <t>キンガク</t>
    </rPh>
    <rPh sb="16" eb="17">
      <t>サ</t>
    </rPh>
    <rPh sb="18" eb="19">
      <t>オオ</t>
    </rPh>
    <rPh sb="23" eb="25">
      <t>モトウケ</t>
    </rPh>
    <rPh sb="29" eb="31">
      <t>ジッセキ</t>
    </rPh>
    <rPh sb="31" eb="32">
      <t>ガク</t>
    </rPh>
    <rPh sb="33" eb="35">
      <t>カショウ</t>
    </rPh>
    <phoneticPr fontId="5"/>
  </si>
  <si>
    <t>工事価格</t>
    <phoneticPr fontId="5"/>
  </si>
  <si>
    <r>
      <t>発注ファイル及び元請ファイルの工事価格が</t>
    </r>
    <r>
      <rPr>
        <b/>
        <sz val="11"/>
        <rFont val="ＭＳ Ｐゴシック"/>
        <family val="3"/>
        <charset val="128"/>
      </rPr>
      <t>未入力</t>
    </r>
    <r>
      <rPr>
        <sz val="11"/>
        <rFont val="ＭＳ Ｐゴシック"/>
        <family val="3"/>
        <charset val="128"/>
      </rPr>
      <t/>
    </r>
    <rPh sb="15" eb="17">
      <t>コウジ</t>
    </rPh>
    <rPh sb="17" eb="19">
      <t>カカク</t>
    </rPh>
    <phoneticPr fontId="5"/>
  </si>
  <si>
    <r>
      <t>発注ファイルの工事価格が</t>
    </r>
    <r>
      <rPr>
        <b/>
        <sz val="11"/>
        <rFont val="ＭＳ Ｐゴシック"/>
        <family val="3"/>
        <charset val="128"/>
      </rPr>
      <t>未入力</t>
    </r>
    <r>
      <rPr>
        <sz val="11"/>
        <rFont val="ＭＳ Ｐゴシック"/>
        <family val="3"/>
        <charset val="128"/>
      </rPr>
      <t/>
    </r>
    <rPh sb="7" eb="9">
      <t>コウジ</t>
    </rPh>
    <rPh sb="9" eb="11">
      <t>カカク</t>
    </rPh>
    <phoneticPr fontId="5"/>
  </si>
  <si>
    <t>敷鉄板②</t>
    <phoneticPr fontId="5"/>
  </si>
  <si>
    <t>技術管理費（積上げ）の内訳</t>
    <rPh sb="0" eb="2">
      <t>ギジュツ</t>
    </rPh>
    <rPh sb="2" eb="5">
      <t>カンリヒ</t>
    </rPh>
    <rPh sb="6" eb="8">
      <t>ツミア</t>
    </rPh>
    <rPh sb="11" eb="12">
      <t>ウチ</t>
    </rPh>
    <rPh sb="12" eb="13">
      <t>ヤク</t>
    </rPh>
    <phoneticPr fontId="4"/>
  </si>
  <si>
    <t>技術管理費（積上げ分）に費用計上がある場合は内訳を入力してください。</t>
    <rPh sb="0" eb="2">
      <t>ギジュツ</t>
    </rPh>
    <rPh sb="2" eb="5">
      <t>カンリヒ</t>
    </rPh>
    <rPh sb="6" eb="8">
      <t>ツミア</t>
    </rPh>
    <rPh sb="9" eb="10">
      <t>ブン</t>
    </rPh>
    <rPh sb="12" eb="14">
      <t>ヒヨウ</t>
    </rPh>
    <rPh sb="14" eb="16">
      <t>ケイジョウ</t>
    </rPh>
    <rPh sb="19" eb="21">
      <t>バアイ</t>
    </rPh>
    <rPh sb="22" eb="24">
      <t>ウチワケ</t>
    </rPh>
    <rPh sb="25" eb="27">
      <t>ニュウリョク</t>
    </rPh>
    <phoneticPr fontId="5"/>
  </si>
  <si>
    <t>1　伐採補償</t>
    <phoneticPr fontId="5"/>
  </si>
  <si>
    <t>2　伐採控除補償</t>
    <phoneticPr fontId="5"/>
  </si>
  <si>
    <t>3　取得補償</t>
    <phoneticPr fontId="5"/>
  </si>
  <si>
    <t>工事名</t>
    <rPh sb="0" eb="2">
      <t>コウジ</t>
    </rPh>
    <rPh sb="2" eb="3">
      <t>メイ</t>
    </rPh>
    <phoneticPr fontId="5"/>
  </si>
  <si>
    <t>①直接工事費</t>
    <phoneticPr fontId="5"/>
  </si>
  <si>
    <t>共通仮設費積算対象金額</t>
    <phoneticPr fontId="5"/>
  </si>
  <si>
    <t>YESの場合：作業日数</t>
    <phoneticPr fontId="6"/>
  </si>
  <si>
    <t>　　　　・入力金額に間違いがない場合は、金額差の理由を「確認結果」欄に入力してください。</t>
    <rPh sb="5" eb="7">
      <t>ニュウリョク</t>
    </rPh>
    <rPh sb="7" eb="9">
      <t>キンガク</t>
    </rPh>
    <rPh sb="10" eb="12">
      <t>マチガ</t>
    </rPh>
    <rPh sb="16" eb="18">
      <t>バアイ</t>
    </rPh>
    <rPh sb="20" eb="22">
      <t>キンガク</t>
    </rPh>
    <rPh sb="22" eb="23">
      <t>サ</t>
    </rPh>
    <rPh sb="24" eb="26">
      <t>リユウ</t>
    </rPh>
    <rPh sb="28" eb="30">
      <t>カクニン</t>
    </rPh>
    <rPh sb="30" eb="32">
      <t>ケッカ</t>
    </rPh>
    <rPh sb="33" eb="34">
      <t>ラン</t>
    </rPh>
    <rPh sb="35" eb="37">
      <t>ニュウリョク</t>
    </rPh>
    <phoneticPr fontId="5"/>
  </si>
  <si>
    <t>下記より理由を選択しﾘｽﾄで入力　　　　　　　　　　　　　　      理由１：</t>
    <rPh sb="14" eb="16">
      <t>ニュウリョク</t>
    </rPh>
    <rPh sb="36" eb="38">
      <t>リユウ</t>
    </rPh>
    <phoneticPr fontId="6"/>
  </si>
  <si>
    <t>静岡県</t>
  </si>
  <si>
    <t>三重県</t>
  </si>
  <si>
    <t>鳥取県</t>
  </si>
  <si>
    <t>①工事区域内全般の安全管理</t>
    <phoneticPr fontId="5"/>
  </si>
  <si>
    <t>②不稼働日の保安要員</t>
    <phoneticPr fontId="5"/>
  </si>
  <si>
    <t>高速</t>
    <rPh sb="0" eb="2">
      <t>コウソク</t>
    </rPh>
    <phoneticPr fontId="5"/>
  </si>
  <si>
    <t>③安全施設類の設置、撤去、補修</t>
    <phoneticPr fontId="5"/>
  </si>
  <si>
    <t>④夜間照明</t>
    <phoneticPr fontId="5"/>
  </si>
  <si>
    <t>⑤酸素欠乏症の予防</t>
    <phoneticPr fontId="5"/>
  </si>
  <si>
    <t>高圧作業予防</t>
    <phoneticPr fontId="5"/>
  </si>
  <si>
    <t>トンネル工事における呼吸用保護具</t>
    <phoneticPr fontId="5"/>
  </si>
  <si>
    <t>役務費</t>
    <phoneticPr fontId="5"/>
  </si>
  <si>
    <t>土地の借上費</t>
    <phoneticPr fontId="5"/>
  </si>
  <si>
    <t>電力用水等基本料</t>
    <phoneticPr fontId="5"/>
  </si>
  <si>
    <t>技術管理費</t>
    <phoneticPr fontId="5"/>
  </si>
  <si>
    <t>品質管理費等</t>
    <phoneticPr fontId="5"/>
  </si>
  <si>
    <t>特別な品質管理</t>
    <phoneticPr fontId="5"/>
  </si>
  <si>
    <t>現場条件等費用</t>
    <phoneticPr fontId="5"/>
  </si>
  <si>
    <t>各種調査等</t>
    <phoneticPr fontId="5"/>
  </si>
  <si>
    <t>1.発注者側で積算計上がない場合は、元請ファイルに費用は計上できません。
2.元請側の自主工場製作品の場合は、材料費に計上してください</t>
    <rPh sb="2" eb="5">
      <t>ハッチュウシャ</t>
    </rPh>
    <rPh sb="5" eb="6">
      <t>ガワ</t>
    </rPh>
    <rPh sb="39" eb="41">
      <t>モトウケ</t>
    </rPh>
    <rPh sb="43" eb="45">
      <t>ジシュ</t>
    </rPh>
    <rPh sb="45" eb="47">
      <t>コウジョウ</t>
    </rPh>
    <rPh sb="51" eb="53">
      <t>バアイ</t>
    </rPh>
    <phoneticPr fontId="5"/>
  </si>
  <si>
    <t>別途調査等工事価格</t>
    <phoneticPr fontId="5"/>
  </si>
  <si>
    <t>要確認79</t>
    <phoneticPr fontId="5"/>
  </si>
  <si>
    <r>
      <t>発注ファイルの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7" eb="9">
      <t>キキ</t>
    </rPh>
    <rPh sb="9" eb="11">
      <t>カンセツ</t>
    </rPh>
    <rPh sb="11" eb="12">
      <t>ヒ</t>
    </rPh>
    <phoneticPr fontId="5"/>
  </si>
  <si>
    <t>要確認80</t>
    <phoneticPr fontId="5"/>
  </si>
  <si>
    <r>
      <t>元請ファイルの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7" eb="9">
      <t>キキ</t>
    </rPh>
    <rPh sb="9" eb="11">
      <t>カンセツ</t>
    </rPh>
    <rPh sb="11" eb="12">
      <t>ヒ</t>
    </rPh>
    <phoneticPr fontId="5"/>
  </si>
  <si>
    <t>要確認81</t>
    <phoneticPr fontId="5"/>
  </si>
  <si>
    <t>区分</t>
    <rPh sb="0" eb="2">
      <t>クブン</t>
    </rPh>
    <phoneticPr fontId="5"/>
  </si>
  <si>
    <t>外注先</t>
    <rPh sb="0" eb="3">
      <t>ガイチュウサキ</t>
    </rPh>
    <phoneticPr fontId="5"/>
  </si>
  <si>
    <t>有無</t>
    <rPh sb="0" eb="2">
      <t>ウム</t>
    </rPh>
    <phoneticPr fontId="5"/>
  </si>
  <si>
    <t>技術管理調査項目</t>
    <rPh sb="0" eb="2">
      <t>ギジュツ</t>
    </rPh>
    <rPh sb="2" eb="4">
      <t>カンリ</t>
    </rPh>
    <rPh sb="4" eb="6">
      <t>チョウサ</t>
    </rPh>
    <rPh sb="6" eb="8">
      <t>コウモク</t>
    </rPh>
    <phoneticPr fontId="5"/>
  </si>
  <si>
    <r>
      <t xml:space="preserve">受発注で直接工事費の金額差が大きい
</t>
    </r>
    <r>
      <rPr>
        <b/>
        <sz val="11"/>
        <rFont val="ＭＳ Ｐゴシック"/>
        <family val="3"/>
        <charset val="128"/>
      </rPr>
      <t>（元請ファイル実績額の過小）</t>
    </r>
    <rPh sb="0" eb="3">
      <t>ジュハッチュウ</t>
    </rPh>
    <rPh sb="4" eb="6">
      <t>チョクセツ</t>
    </rPh>
    <rPh sb="6" eb="9">
      <t>コウジヒ</t>
    </rPh>
    <rPh sb="10" eb="12">
      <t>キンガク</t>
    </rPh>
    <rPh sb="12" eb="13">
      <t>サ</t>
    </rPh>
    <rPh sb="14" eb="15">
      <t>オオ</t>
    </rPh>
    <rPh sb="19" eb="21">
      <t>モトウケ</t>
    </rPh>
    <rPh sb="25" eb="27">
      <t>ジッセキ</t>
    </rPh>
    <rPh sb="27" eb="28">
      <t>ガク</t>
    </rPh>
    <rPh sb="29" eb="31">
      <t>カショウ</t>
    </rPh>
    <phoneticPr fontId="5"/>
  </si>
  <si>
    <t>4時間/日未満</t>
    <rPh sb="1" eb="3">
      <t>ジカン</t>
    </rPh>
    <rPh sb="4" eb="5">
      <t>ニチ</t>
    </rPh>
    <rPh sb="5" eb="7">
      <t>ミマン</t>
    </rPh>
    <phoneticPr fontId="5"/>
  </si>
  <si>
    <t>4時間/日以上～7時間/日以下</t>
    <rPh sb="1" eb="3">
      <t>ジカン</t>
    </rPh>
    <rPh sb="4" eb="5">
      <t>ニチ</t>
    </rPh>
    <rPh sb="5" eb="7">
      <t>イジョウ</t>
    </rPh>
    <rPh sb="9" eb="11">
      <t>ジカン</t>
    </rPh>
    <rPh sb="12" eb="13">
      <t>ニチ</t>
    </rPh>
    <rPh sb="13" eb="15">
      <t>イカ</t>
    </rPh>
    <phoneticPr fontId="5"/>
  </si>
  <si>
    <t>7時間を超え7.5時間/日以下</t>
    <rPh sb="1" eb="3">
      <t>ジカン</t>
    </rPh>
    <rPh sb="4" eb="5">
      <t>コ</t>
    </rPh>
    <rPh sb="9" eb="11">
      <t>ジカン</t>
    </rPh>
    <rPh sb="12" eb="13">
      <t>ニチ</t>
    </rPh>
    <rPh sb="13" eb="15">
      <t>イカ</t>
    </rPh>
    <phoneticPr fontId="5"/>
  </si>
  <si>
    <t>要確認1</t>
    <rPh sb="0" eb="1">
      <t>ヨウ</t>
    </rPh>
    <rPh sb="1" eb="3">
      <t>カクニン</t>
    </rPh>
    <phoneticPr fontId="5"/>
  </si>
  <si>
    <t>要確認2</t>
    <phoneticPr fontId="5"/>
  </si>
  <si>
    <t>要確認3</t>
    <phoneticPr fontId="5"/>
  </si>
  <si>
    <t>要確認4</t>
    <phoneticPr fontId="5"/>
  </si>
  <si>
    <t>要確認5</t>
    <phoneticPr fontId="5"/>
  </si>
  <si>
    <t>要確認6</t>
    <phoneticPr fontId="5"/>
  </si>
  <si>
    <t>要確認7</t>
    <phoneticPr fontId="5"/>
  </si>
  <si>
    <t>要確認8</t>
    <phoneticPr fontId="5"/>
  </si>
  <si>
    <t>要確認9</t>
    <phoneticPr fontId="5"/>
  </si>
  <si>
    <t>要確認10</t>
    <phoneticPr fontId="5"/>
  </si>
  <si>
    <t>要確認11</t>
    <phoneticPr fontId="5"/>
  </si>
  <si>
    <t>要確認12</t>
    <phoneticPr fontId="5"/>
  </si>
  <si>
    <t>要確認13</t>
    <phoneticPr fontId="5"/>
  </si>
  <si>
    <t>要確認14</t>
    <phoneticPr fontId="5"/>
  </si>
  <si>
    <t>要確認15</t>
    <phoneticPr fontId="5"/>
  </si>
  <si>
    <t>＊日数入力箇所に該当がない場合は０を入力してください。</t>
    <rPh sb="1" eb="3">
      <t>ニッスウ</t>
    </rPh>
    <rPh sb="3" eb="5">
      <t>ニュウリョク</t>
    </rPh>
    <rPh sb="5" eb="7">
      <t>カショ</t>
    </rPh>
    <rPh sb="8" eb="10">
      <t>ガイトウ</t>
    </rPh>
    <rPh sb="13" eb="15">
      <t>バアイ</t>
    </rPh>
    <rPh sb="18" eb="20">
      <t>ニュウリョク</t>
    </rPh>
    <phoneticPr fontId="4"/>
  </si>
  <si>
    <t>金額(千円)
（数量×単価）</t>
    <rPh sb="8" eb="10">
      <t>スウリョウ</t>
    </rPh>
    <rPh sb="11" eb="13">
      <t>タンカ</t>
    </rPh>
    <phoneticPr fontId="5"/>
  </si>
  <si>
    <t>単位</t>
  </si>
  <si>
    <t>同規格の既製品を使用した場合の材料費を下表に入力</t>
  </si>
  <si>
    <t>費　　目</t>
    <rPh sb="0" eb="1">
      <t>ヒ</t>
    </rPh>
    <rPh sb="3" eb="4">
      <t>メ</t>
    </rPh>
    <phoneticPr fontId="5"/>
  </si>
  <si>
    <t>発注ファイル</t>
    <rPh sb="0" eb="2">
      <t>ハッチュウ</t>
    </rPh>
    <phoneticPr fontId="5"/>
  </si>
  <si>
    <t>入力の確認</t>
    <rPh sb="0" eb="2">
      <t>ニュウリョク</t>
    </rPh>
    <rPh sb="3" eb="5">
      <t>カクニン</t>
    </rPh>
    <phoneticPr fontId="5"/>
  </si>
  <si>
    <t>『工事費』シートの『材料費』</t>
    <rPh sb="10" eb="12">
      <t>ザイリョウ</t>
    </rPh>
    <rPh sb="12" eb="13">
      <t>ヒ</t>
    </rPh>
    <phoneticPr fontId="5"/>
  </si>
  <si>
    <t>3：地　方（一般交通等の影響を受ける地区）</t>
  </si>
  <si>
    <r>
      <t>受発注で補償費の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ホショウ</t>
    </rPh>
    <rPh sb="6" eb="7">
      <t>ヒ</t>
    </rPh>
    <rPh sb="8" eb="10">
      <t>キンガク</t>
    </rPh>
    <rPh sb="10" eb="11">
      <t>サ</t>
    </rPh>
    <rPh sb="12" eb="13">
      <t>オオ</t>
    </rPh>
    <rPh sb="17" eb="19">
      <t>モトウケ</t>
    </rPh>
    <rPh sb="23" eb="25">
      <t>ジッセキ</t>
    </rPh>
    <rPh sb="25" eb="26">
      <t>ガク</t>
    </rPh>
    <rPh sb="27" eb="29">
      <t>カダイ</t>
    </rPh>
    <phoneticPr fontId="5"/>
  </si>
  <si>
    <t>ｼｰﾄ名</t>
    <rPh sb="3" eb="4">
      <t>メイ</t>
    </rPh>
    <phoneticPr fontId="5"/>
  </si>
  <si>
    <t>未入力の件数</t>
    <rPh sb="0" eb="3">
      <t>ミニュウリョク</t>
    </rPh>
    <rPh sb="4" eb="6">
      <t>ケンスウ</t>
    </rPh>
    <phoneticPr fontId="5"/>
  </si>
  <si>
    <t>１．受発注者の入力金額対比チェック</t>
    <rPh sb="2" eb="5">
      <t>ジュハッチュウ</t>
    </rPh>
    <rPh sb="5" eb="6">
      <t>シャ</t>
    </rPh>
    <rPh sb="7" eb="9">
      <t>ニュウリョク</t>
    </rPh>
    <rPh sb="9" eb="11">
      <t>キンガク</t>
    </rPh>
    <rPh sb="11" eb="13">
      <t>タイヒ</t>
    </rPh>
    <phoneticPr fontId="5"/>
  </si>
  <si>
    <t>　(５)無償貸付機械等評価額</t>
    <phoneticPr fontId="5"/>
  </si>
  <si>
    <r>
      <t>1.発注ファイル
　①「工事費」シートの「工事価格」は最終工事価格での入力となっているか？
　②金額は「千円」単位での入力になっているか？
2.元請ファイル
　①「一般事項」シートの「最終工事請負金額」の入力に間違いはないか？（工事費シートの工事価格は、一般事項シートで入力した「最終工事請負金額（消費税込） - 内消費税相当額」が自動計算されます。）
　②金額は「千円」単位での入力になっているか？
3.</t>
    </r>
    <r>
      <rPr>
        <b/>
        <sz val="10"/>
        <rFont val="ＭＳ Ｐゴシック"/>
        <family val="3"/>
        <charset val="128"/>
      </rPr>
      <t>低入札等の場合はその旨を「確認結果」欄に理由を記入</t>
    </r>
    <r>
      <rPr>
        <sz val="10"/>
        <rFont val="ＭＳ Ｐゴシック"/>
        <family val="3"/>
        <charset val="128"/>
      </rPr>
      <t>してください。
　例）低入札工事
　</t>
    </r>
    <r>
      <rPr>
        <b/>
        <sz val="10"/>
        <rFont val="ＭＳ Ｐゴシック"/>
        <family val="3"/>
        <charset val="128"/>
      </rPr>
      <t>注）落札率が90％未満で低入札工事ではない場合も「確認結果」欄にその旨を記入</t>
    </r>
    <r>
      <rPr>
        <sz val="10"/>
        <rFont val="ＭＳ Ｐゴシック"/>
        <family val="3"/>
        <charset val="128"/>
      </rPr>
      <t>してください。
　例）確認済み、低入札工事ではない</t>
    </r>
    <rPh sb="2" eb="4">
      <t>ハッチュウ</t>
    </rPh>
    <rPh sb="12" eb="15">
      <t>コウジヒ</t>
    </rPh>
    <rPh sb="21" eb="23">
      <t>コウジ</t>
    </rPh>
    <rPh sb="23" eb="25">
      <t>カカク</t>
    </rPh>
    <rPh sb="27" eb="29">
      <t>サイシュウ</t>
    </rPh>
    <rPh sb="29" eb="31">
      <t>コウジ</t>
    </rPh>
    <rPh sb="31" eb="33">
      <t>カカク</t>
    </rPh>
    <rPh sb="35" eb="37">
      <t>ニュウリョク</t>
    </rPh>
    <rPh sb="48" eb="50">
      <t>キンガク</t>
    </rPh>
    <rPh sb="73" eb="75">
      <t>モトウケ</t>
    </rPh>
    <rPh sb="83" eb="85">
      <t>イッパン</t>
    </rPh>
    <rPh sb="85" eb="87">
      <t>ジコウ</t>
    </rPh>
    <rPh sb="93" eb="95">
      <t>サイシュウ</t>
    </rPh>
    <rPh sb="95" eb="97">
      <t>コウジ</t>
    </rPh>
    <rPh sb="97" eb="99">
      <t>ウケオイ</t>
    </rPh>
    <rPh sb="99" eb="101">
      <t>キンガク</t>
    </rPh>
    <rPh sb="103" eb="105">
      <t>ニュウリョク</t>
    </rPh>
    <rPh sb="106" eb="108">
      <t>マチガ</t>
    </rPh>
    <rPh sb="128" eb="130">
      <t>イッパン</t>
    </rPh>
    <rPh sb="130" eb="132">
      <t>ジコウ</t>
    </rPh>
    <rPh sb="136" eb="138">
      <t>ニュウリョク</t>
    </rPh>
    <rPh sb="167" eb="169">
      <t>ジドウ</t>
    </rPh>
    <rPh sb="169" eb="171">
      <t>ケイサン</t>
    </rPh>
    <rPh sb="208" eb="209">
      <t>トウ</t>
    </rPh>
    <rPh sb="239" eb="240">
      <t>レイ</t>
    </rPh>
    <rPh sb="241" eb="242">
      <t>テイ</t>
    </rPh>
    <rPh sb="242" eb="244">
      <t>ニュウサツ</t>
    </rPh>
    <rPh sb="244" eb="246">
      <t>コウジ</t>
    </rPh>
    <rPh sb="248" eb="249">
      <t>チュウ</t>
    </rPh>
    <rPh sb="250" eb="252">
      <t>ラクサツ</t>
    </rPh>
    <rPh sb="252" eb="253">
      <t>リツ</t>
    </rPh>
    <rPh sb="257" eb="259">
      <t>ミマン</t>
    </rPh>
    <rPh sb="260" eb="261">
      <t>テイ</t>
    </rPh>
    <rPh sb="261" eb="263">
      <t>ニュウサツ</t>
    </rPh>
    <rPh sb="263" eb="265">
      <t>コウジ</t>
    </rPh>
    <rPh sb="269" eb="271">
      <t>バアイ</t>
    </rPh>
    <rPh sb="282" eb="283">
      <t>ムネ</t>
    </rPh>
    <rPh sb="284" eb="286">
      <t>キニュウ</t>
    </rPh>
    <rPh sb="295" eb="296">
      <t>レイ</t>
    </rPh>
    <rPh sb="297" eb="299">
      <t>カクニン</t>
    </rPh>
    <rPh sb="299" eb="300">
      <t>ズ</t>
    </rPh>
    <rPh sb="302" eb="303">
      <t>テイ</t>
    </rPh>
    <rPh sb="303" eb="305">
      <t>ニュウサツ</t>
    </rPh>
    <rPh sb="305" eb="307">
      <t>コウジ</t>
    </rPh>
    <phoneticPr fontId="5"/>
  </si>
  <si>
    <t>工事請負金額（消費税込）</t>
    <rPh sb="0" eb="2">
      <t>コウジ</t>
    </rPh>
    <rPh sb="2" eb="4">
      <t>ウケオイ</t>
    </rPh>
    <rPh sb="4" eb="6">
      <t>キンガク</t>
    </rPh>
    <phoneticPr fontId="5"/>
  </si>
  <si>
    <t>要確認96</t>
    <phoneticPr fontId="5"/>
  </si>
  <si>
    <t>要確認97</t>
    <phoneticPr fontId="5"/>
  </si>
  <si>
    <t>(４)</t>
    <phoneticPr fontId="5"/>
  </si>
  <si>
    <t>機器間接費</t>
    <phoneticPr fontId="4"/>
  </si>
  <si>
    <t>１)</t>
    <phoneticPr fontId="5"/>
  </si>
  <si>
    <r>
      <t xml:space="preserve">技術者間接費
</t>
    </r>
    <r>
      <rPr>
        <sz val="10"/>
        <rFont val="ＭＳ Ｐゴシック"/>
        <family val="3"/>
        <charset val="128"/>
      </rPr>
      <t>（電気通信設備工事の場合）</t>
    </r>
    <rPh sb="0" eb="3">
      <t>ギジュツシャ</t>
    </rPh>
    <rPh sb="3" eb="6">
      <t>カンセツヒ</t>
    </rPh>
    <rPh sb="8" eb="10">
      <t>デンキ</t>
    </rPh>
    <rPh sb="10" eb="12">
      <t>ツウシン</t>
    </rPh>
    <rPh sb="12" eb="14">
      <t>セツビ</t>
    </rPh>
    <rPh sb="14" eb="16">
      <t>コウジ</t>
    </rPh>
    <rPh sb="17" eb="19">
      <t>バアイ</t>
    </rPh>
    <phoneticPr fontId="5"/>
  </si>
  <si>
    <t>スライドの有無</t>
    <rPh sb="5" eb="7">
      <t>ウム</t>
    </rPh>
    <phoneticPr fontId="5"/>
  </si>
  <si>
    <t>スライドの種類</t>
    <rPh sb="5" eb="7">
      <t>シュルイ</t>
    </rPh>
    <phoneticPr fontId="5"/>
  </si>
  <si>
    <t>単品スライド</t>
    <rPh sb="0" eb="2">
      <t>タンピン</t>
    </rPh>
    <phoneticPr fontId="5"/>
  </si>
  <si>
    <t>全体スライド</t>
    <rPh sb="0" eb="2">
      <t>ゼンタイ</t>
    </rPh>
    <phoneticPr fontId="5"/>
  </si>
  <si>
    <t>総価契約単価合意方式【ユニットプライス】</t>
    <rPh sb="0" eb="1">
      <t>ソウ</t>
    </rPh>
    <rPh sb="1" eb="2">
      <t>カ</t>
    </rPh>
    <rPh sb="2" eb="4">
      <t>ケイヤク</t>
    </rPh>
    <rPh sb="4" eb="6">
      <t>タンカ</t>
    </rPh>
    <rPh sb="6" eb="8">
      <t>ゴウイ</t>
    </rPh>
    <rPh sb="8" eb="10">
      <t>ホウシキ</t>
    </rPh>
    <phoneticPr fontId="5"/>
  </si>
  <si>
    <t>総価契約単価合意方式【積上げ（個別）】</t>
    <rPh sb="0" eb="1">
      <t>ソウ</t>
    </rPh>
    <rPh sb="1" eb="2">
      <t>カ</t>
    </rPh>
    <rPh sb="2" eb="4">
      <t>ケイヤク</t>
    </rPh>
    <rPh sb="4" eb="6">
      <t>タンカ</t>
    </rPh>
    <rPh sb="6" eb="8">
      <t>ゴウイ</t>
    </rPh>
    <rPh sb="8" eb="10">
      <t>ホウシキ</t>
    </rPh>
    <rPh sb="11" eb="13">
      <t>ツミア</t>
    </rPh>
    <rPh sb="15" eb="17">
      <t>コベツ</t>
    </rPh>
    <phoneticPr fontId="5"/>
  </si>
  <si>
    <t>総価契約単価合意方式【積上げ（包括）】</t>
    <rPh sb="0" eb="1">
      <t>ソウ</t>
    </rPh>
    <rPh sb="1" eb="2">
      <t>カ</t>
    </rPh>
    <rPh sb="2" eb="4">
      <t>ケイヤク</t>
    </rPh>
    <rPh sb="4" eb="6">
      <t>タンカ</t>
    </rPh>
    <rPh sb="6" eb="8">
      <t>ゴウイ</t>
    </rPh>
    <rPh sb="8" eb="10">
      <t>ホウシキ</t>
    </rPh>
    <rPh sb="11" eb="13">
      <t>ツミア</t>
    </rPh>
    <rPh sb="15" eb="17">
      <t>ホウカツ</t>
    </rPh>
    <phoneticPr fontId="5"/>
  </si>
  <si>
    <t>単品スライド・全体スライド併用</t>
    <rPh sb="0" eb="2">
      <t>タンピン</t>
    </rPh>
    <rPh sb="7" eb="9">
      <t>ゼンタイ</t>
    </rPh>
    <rPh sb="13" eb="15">
      <t>ヘイヨウ</t>
    </rPh>
    <phoneticPr fontId="5"/>
  </si>
  <si>
    <t>単品スライド・インフレスライド併用</t>
    <rPh sb="0" eb="2">
      <t>タンピン</t>
    </rPh>
    <rPh sb="15" eb="17">
      <t>ヘイヨウ</t>
    </rPh>
    <phoneticPr fontId="5"/>
  </si>
  <si>
    <t>※総価契約単価合意方式の場合、合意前の額を記入</t>
    <rPh sb="1" eb="2">
      <t>ソウ</t>
    </rPh>
    <rPh sb="2" eb="3">
      <t>カ</t>
    </rPh>
    <rPh sb="3" eb="5">
      <t>ケイヤク</t>
    </rPh>
    <rPh sb="5" eb="7">
      <t>タンカ</t>
    </rPh>
    <rPh sb="7" eb="9">
      <t>ゴウイ</t>
    </rPh>
    <rPh sb="9" eb="11">
      <t>ホウシキ</t>
    </rPh>
    <rPh sb="12" eb="14">
      <t>バアイ</t>
    </rPh>
    <rPh sb="15" eb="17">
      <t>ゴウイ</t>
    </rPh>
    <rPh sb="17" eb="18">
      <t>マエ</t>
    </rPh>
    <rPh sb="19" eb="20">
      <t>ガク</t>
    </rPh>
    <rPh sb="21" eb="23">
      <t>キニュウ</t>
    </rPh>
    <phoneticPr fontId="4"/>
  </si>
  <si>
    <t>1：一般道路</t>
    <rPh sb="2" eb="4">
      <t>イッパン</t>
    </rPh>
    <rPh sb="4" eb="6">
      <t>ドウロ</t>
    </rPh>
    <phoneticPr fontId="4"/>
  </si>
  <si>
    <t>2：自動車専用道路</t>
    <rPh sb="2" eb="5">
      <t>ジドウシャ</t>
    </rPh>
    <rPh sb="5" eb="7">
      <t>センヨウ</t>
    </rPh>
    <rPh sb="7" eb="9">
      <t>ドウロ</t>
    </rPh>
    <phoneticPr fontId="4"/>
  </si>
  <si>
    <t>積算に用いた緊急時補正率</t>
    <rPh sb="0" eb="2">
      <t>セキサン</t>
    </rPh>
    <rPh sb="3" eb="4">
      <t>モチ</t>
    </rPh>
    <rPh sb="6" eb="9">
      <t>キンキュウジ</t>
    </rPh>
    <rPh sb="9" eb="11">
      <t>ホセイ</t>
    </rPh>
    <rPh sb="11" eb="12">
      <t>リツ</t>
    </rPh>
    <phoneticPr fontId="5"/>
  </si>
  <si>
    <t>％）</t>
    <phoneticPr fontId="5"/>
  </si>
  <si>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4" eb="5">
      <t>コト</t>
    </rPh>
    <rPh sb="8" eb="9">
      <t>メイ</t>
    </rPh>
    <phoneticPr fontId="5"/>
  </si>
  <si>
    <t>発注ファイル
（積算額）</t>
    <phoneticPr fontId="5"/>
  </si>
  <si>
    <t>元請ファイル
（実績額）</t>
    <rPh sb="0" eb="2">
      <t>モトウケ</t>
    </rPh>
    <phoneticPr fontId="5"/>
  </si>
  <si>
    <t>確認内容</t>
    <rPh sb="0" eb="2">
      <t>カクニン</t>
    </rPh>
    <rPh sb="2" eb="4">
      <t>ナイヨウ</t>
    </rPh>
    <phoneticPr fontId="5"/>
  </si>
  <si>
    <t>工事請負金額</t>
    <rPh sb="0" eb="2">
      <t>コウジ</t>
    </rPh>
    <rPh sb="2" eb="4">
      <t>ウケオイ</t>
    </rPh>
    <rPh sb="4" eb="6">
      <t>キンガク</t>
    </rPh>
    <phoneticPr fontId="5"/>
  </si>
  <si>
    <t>1.金額は「千円」単位での入力になっているか？
2.発注ファイルの入力金額は正しいか？
3.元請ファイルの入力金額は正しいか？</t>
    <phoneticPr fontId="5"/>
  </si>
  <si>
    <t>要確認82</t>
    <phoneticPr fontId="5"/>
  </si>
  <si>
    <t>技術管理費</t>
    <rPh sb="0" eb="2">
      <t>ギジュツ</t>
    </rPh>
    <rPh sb="2" eb="5">
      <t>カンリヒ</t>
    </rPh>
    <phoneticPr fontId="5"/>
  </si>
  <si>
    <t>35％を超えるもの</t>
    <rPh sb="4" eb="5">
      <t>コ</t>
    </rPh>
    <phoneticPr fontId="5"/>
  </si>
  <si>
    <t>間接工事費</t>
  </si>
  <si>
    <t>運搬費</t>
  </si>
  <si>
    <t>準備費</t>
  </si>
  <si>
    <t>安全費</t>
  </si>
  <si>
    <t>役務費</t>
  </si>
  <si>
    <t>技術管理費</t>
  </si>
  <si>
    <t>営繕費</t>
  </si>
  <si>
    <t>その他</t>
  </si>
  <si>
    <t>共通仮設費の率分</t>
  </si>
  <si>
    <t>⑥</t>
    <phoneticPr fontId="5"/>
  </si>
  <si>
    <t>「一般事項」シートで工事請負金額を入力してください。入力することで「工事費」シートに工事価格が自動計算されます。</t>
    <rPh sb="1" eb="3">
      <t>イッパン</t>
    </rPh>
    <rPh sb="3" eb="5">
      <t>ジコウ</t>
    </rPh>
    <rPh sb="10" eb="12">
      <t>コウジ</t>
    </rPh>
    <rPh sb="12" eb="14">
      <t>ウケオイ</t>
    </rPh>
    <rPh sb="14" eb="16">
      <t>キンガク</t>
    </rPh>
    <rPh sb="26" eb="28">
      <t>ニュウリョク</t>
    </rPh>
    <rPh sb="34" eb="37">
      <t>コウジヒ</t>
    </rPh>
    <rPh sb="42" eb="44">
      <t>コウジ</t>
    </rPh>
    <rPh sb="44" eb="46">
      <t>カカク</t>
    </rPh>
    <rPh sb="47" eb="49">
      <t>ジドウ</t>
    </rPh>
    <rPh sb="49" eb="51">
      <t>ケイサン</t>
    </rPh>
    <phoneticPr fontId="5"/>
  </si>
  <si>
    <t>発注工事価格が元請工事価格より小さい
（落札率が100％以上）</t>
    <rPh sb="7" eb="9">
      <t>モトウケ</t>
    </rPh>
    <rPh sb="20" eb="22">
      <t>ラクサツ</t>
    </rPh>
    <rPh sb="22" eb="23">
      <t>リツ</t>
    </rPh>
    <rPh sb="28" eb="30">
      <t>イジョウ</t>
    </rPh>
    <phoneticPr fontId="5"/>
  </si>
  <si>
    <t>1.発注「工事費」シート：最終変更での金額入力となっているか？
2.元請「一般事項」シート：最終変更の請負金額となっているか？（請負金額から工事価格が自動計算されます）</t>
    <rPh sb="5" eb="8">
      <t>コウジヒ</t>
    </rPh>
    <rPh sb="15" eb="17">
      <t>ヘンコウ</t>
    </rPh>
    <rPh sb="19" eb="21">
      <t>キンガク</t>
    </rPh>
    <rPh sb="21" eb="23">
      <t>ニュウリョク</t>
    </rPh>
    <rPh sb="37" eb="39">
      <t>イッパン</t>
    </rPh>
    <rPh sb="39" eb="41">
      <t>ジコウ</t>
    </rPh>
    <rPh sb="46" eb="48">
      <t>サイシュウ</t>
    </rPh>
    <rPh sb="48" eb="50">
      <t>ヘンコウ</t>
    </rPh>
    <rPh sb="51" eb="53">
      <t>ウケオイ</t>
    </rPh>
    <rPh sb="53" eb="55">
      <t>キンガク</t>
    </rPh>
    <rPh sb="64" eb="66">
      <t>ウケオイ</t>
    </rPh>
    <rPh sb="66" eb="68">
      <t>キンガク</t>
    </rPh>
    <rPh sb="70" eb="72">
      <t>コウジ</t>
    </rPh>
    <rPh sb="72" eb="74">
      <t>カカク</t>
    </rPh>
    <rPh sb="75" eb="77">
      <t>ジドウ</t>
    </rPh>
    <rPh sb="77" eb="79">
      <t>ケイサン</t>
    </rPh>
    <phoneticPr fontId="5"/>
  </si>
  <si>
    <r>
      <t xml:space="preserve">受発注で直接工事費の金額差が大きい
</t>
    </r>
    <r>
      <rPr>
        <b/>
        <sz val="11"/>
        <rFont val="ＭＳ Ｐゴシック"/>
        <family val="3"/>
        <charset val="128"/>
      </rPr>
      <t>（元請ファイル実績額の過大）</t>
    </r>
    <rPh sb="0" eb="3">
      <t>ジュハッチュウ</t>
    </rPh>
    <rPh sb="4" eb="6">
      <t>チョクセツ</t>
    </rPh>
    <rPh sb="6" eb="9">
      <t>コウジヒ</t>
    </rPh>
    <rPh sb="10" eb="12">
      <t>キンガク</t>
    </rPh>
    <rPh sb="12" eb="13">
      <t>サ</t>
    </rPh>
    <rPh sb="14" eb="15">
      <t>オオ</t>
    </rPh>
    <rPh sb="19" eb="21">
      <t>モトウケ</t>
    </rPh>
    <rPh sb="25" eb="27">
      <t>ジッセキ</t>
    </rPh>
    <rPh sb="27" eb="28">
      <t>ガク</t>
    </rPh>
    <rPh sb="29" eb="31">
      <t>カダイ</t>
    </rPh>
    <phoneticPr fontId="5"/>
  </si>
  <si>
    <t>準備費</t>
    <phoneticPr fontId="5"/>
  </si>
  <si>
    <r>
      <t>元請ファイルの工事価格が</t>
    </r>
    <r>
      <rPr>
        <b/>
        <sz val="11"/>
        <rFont val="ＭＳ Ｐゴシック"/>
        <family val="3"/>
        <charset val="128"/>
      </rPr>
      <t>未入力</t>
    </r>
    <r>
      <rPr>
        <sz val="11"/>
        <rFont val="ＭＳ Ｐゴシック"/>
        <family val="3"/>
        <charset val="128"/>
      </rPr>
      <t/>
    </r>
    <rPh sb="7" eb="9">
      <t>コウジ</t>
    </rPh>
    <rPh sb="9" eb="11">
      <t>カカク</t>
    </rPh>
    <phoneticPr fontId="5"/>
  </si>
  <si>
    <t>一般管理費等の前払い金支出割合</t>
    <rPh sb="0" eb="2">
      <t>イッパン</t>
    </rPh>
    <rPh sb="2" eb="5">
      <t>カンリヒ</t>
    </rPh>
    <rPh sb="5" eb="6">
      <t>トウ</t>
    </rPh>
    <rPh sb="7" eb="9">
      <t>マエバラ</t>
    </rPh>
    <rPh sb="10" eb="11">
      <t>キン</t>
    </rPh>
    <rPh sb="11" eb="13">
      <t>シシュツ</t>
    </rPh>
    <rPh sb="13" eb="15">
      <t>ワリアイ</t>
    </rPh>
    <phoneticPr fontId="5"/>
  </si>
  <si>
    <t>5％以下</t>
    <rPh sb="2" eb="4">
      <t>イカ</t>
    </rPh>
    <phoneticPr fontId="5"/>
  </si>
  <si>
    <t>5％を超え15％以下</t>
    <rPh sb="3" eb="4">
      <t>コ</t>
    </rPh>
    <rPh sb="8" eb="10">
      <t>イカ</t>
    </rPh>
    <phoneticPr fontId="5"/>
  </si>
  <si>
    <t>15％を超え25％以下</t>
    <rPh sb="4" eb="5">
      <t>コ</t>
    </rPh>
    <rPh sb="9" eb="11">
      <t>イカ</t>
    </rPh>
    <phoneticPr fontId="5"/>
  </si>
  <si>
    <t>25％を超え35％以下</t>
    <rPh sb="4" eb="5">
      <t>コ</t>
    </rPh>
    <rPh sb="9" eb="11">
      <t>イカ</t>
    </rPh>
    <phoneticPr fontId="5"/>
  </si>
  <si>
    <t>緊急工事</t>
  </si>
  <si>
    <t>区分</t>
    <phoneticPr fontId="5"/>
  </si>
  <si>
    <t>Y E S / N O</t>
    <phoneticPr fontId="5"/>
  </si>
  <si>
    <t>工事現場の50ｍ以内に人家（民家、商店、ビル等）が連なっている所があった。</t>
    <phoneticPr fontId="5"/>
  </si>
  <si>
    <t>地下埋設物の調査、移設、切り回し作業があった。</t>
    <phoneticPr fontId="5"/>
  </si>
  <si>
    <t>地元説明が何度も必要であった。</t>
    <phoneticPr fontId="5"/>
  </si>
  <si>
    <t>他官庁（警察・道路管理者等）他企業（NTT、電力会社等）との協議事項があり一般工事に比べ社員の拘束が多い工事であった。</t>
    <phoneticPr fontId="5"/>
  </si>
  <si>
    <t>除雪工事補正係数</t>
    <rPh sb="0" eb="2">
      <t>ジョセツ</t>
    </rPh>
    <rPh sb="2" eb="4">
      <t>コウジ</t>
    </rPh>
    <rPh sb="4" eb="6">
      <t>ホセイ</t>
    </rPh>
    <rPh sb="6" eb="8">
      <t>ケイスウ</t>
    </rPh>
    <phoneticPr fontId="5"/>
  </si>
  <si>
    <t>YESの場合：砂防堰堤高さを入力</t>
    <rPh sb="7" eb="9">
      <t>サボウ</t>
    </rPh>
    <rPh sb="9" eb="11">
      <t>エンテイ</t>
    </rPh>
    <rPh sb="11" eb="12">
      <t>タカ</t>
    </rPh>
    <phoneticPr fontId="6"/>
  </si>
  <si>
    <r>
      <t>受発注で機械器具等損料の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キカイ</t>
    </rPh>
    <rPh sb="6" eb="9">
      <t>キグナド</t>
    </rPh>
    <rPh sb="9" eb="11">
      <t>ソンリョウ</t>
    </rPh>
    <rPh sb="12" eb="14">
      <t>キンガク</t>
    </rPh>
    <rPh sb="14" eb="15">
      <t>サ</t>
    </rPh>
    <rPh sb="16" eb="17">
      <t>オオ</t>
    </rPh>
    <rPh sb="21" eb="23">
      <t>モトウケ</t>
    </rPh>
    <rPh sb="27" eb="29">
      <t>ジッセキ</t>
    </rPh>
    <rPh sb="29" eb="30">
      <t>ガク</t>
    </rPh>
    <rPh sb="31" eb="33">
      <t>カダイ</t>
    </rPh>
    <phoneticPr fontId="5"/>
  </si>
  <si>
    <t>1.金額は「千円」単位での入力になっているか？
2.発注ファイルの入力金額は正しいか？
3.元請ファイルの入力金額は正しいか？
　①二重計上はないか？
　②計上漏れはないか？</t>
    <rPh sb="78" eb="80">
      <t>ケイジョウ</t>
    </rPh>
    <rPh sb="80" eb="81">
      <t>モ</t>
    </rPh>
    <phoneticPr fontId="5"/>
  </si>
  <si>
    <r>
      <t>受発注で機械器具等損料の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キカイ</t>
    </rPh>
    <rPh sb="6" eb="9">
      <t>キグナド</t>
    </rPh>
    <rPh sb="9" eb="11">
      <t>ソンリョウ</t>
    </rPh>
    <rPh sb="12" eb="14">
      <t>キンガク</t>
    </rPh>
    <rPh sb="14" eb="15">
      <t>サ</t>
    </rPh>
    <rPh sb="16" eb="17">
      <t>オオ</t>
    </rPh>
    <rPh sb="21" eb="23">
      <t>モトウケ</t>
    </rPh>
    <rPh sb="27" eb="29">
      <t>ジッセキ</t>
    </rPh>
    <rPh sb="29" eb="30">
      <t>ガク</t>
    </rPh>
    <rPh sb="31" eb="33">
      <t>カショウ</t>
    </rPh>
    <phoneticPr fontId="5"/>
  </si>
  <si>
    <t>無償貸付機械等評価額</t>
    <phoneticPr fontId="5"/>
  </si>
  <si>
    <r>
      <t>発注ファイルの無償貸付機械等評価額が</t>
    </r>
    <r>
      <rPr>
        <b/>
        <sz val="10"/>
        <rFont val="ＭＳ Ｐゴシック"/>
        <family val="3"/>
        <charset val="128"/>
      </rPr>
      <t>未入力</t>
    </r>
    <phoneticPr fontId="5"/>
  </si>
  <si>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phoneticPr fontId="5"/>
  </si>
  <si>
    <t>　（３）現場管理費</t>
    <phoneticPr fontId="5"/>
  </si>
  <si>
    <t>要確認20</t>
    <phoneticPr fontId="5"/>
  </si>
  <si>
    <t>要確認21</t>
    <phoneticPr fontId="5"/>
  </si>
  <si>
    <t>4：上記以外の工事場所 （但し、空港制限区域内工事は除く）</t>
    <rPh sb="2" eb="4">
      <t>ジョウキ</t>
    </rPh>
    <rPh sb="4" eb="6">
      <t>イガイ</t>
    </rPh>
    <rPh sb="7" eb="9">
      <t>コウジ</t>
    </rPh>
    <rPh sb="9" eb="11">
      <t>バショ</t>
    </rPh>
    <rPh sb="13" eb="14">
      <t>タダ</t>
    </rPh>
    <rPh sb="16" eb="18">
      <t>クウコウ</t>
    </rPh>
    <rPh sb="18" eb="20">
      <t>セイゲン</t>
    </rPh>
    <rPh sb="20" eb="22">
      <t>クイキ</t>
    </rPh>
    <rPh sb="22" eb="23">
      <t>ナイ</t>
    </rPh>
    <rPh sb="23" eb="25">
      <t>コウジ</t>
    </rPh>
    <rPh sb="26" eb="27">
      <t>ノゾ</t>
    </rPh>
    <phoneticPr fontId="4"/>
  </si>
  <si>
    <t>エラーを表しています。エラーをなくすように入力して下さい。</t>
  </si>
  <si>
    <t>注意事項</t>
    <rPh sb="0" eb="2">
      <t>チュウイ</t>
    </rPh>
    <rPh sb="2" eb="4">
      <t>ジコウ</t>
    </rPh>
    <phoneticPr fontId="5"/>
  </si>
  <si>
    <t xml:space="preserve">   =&gt;</t>
    <phoneticPr fontId="5"/>
  </si>
  <si>
    <t>砂防堰堤高さ（基礎地盤から堤頂まで）が20ｍ以上であった。
　(砂防工事以外の場合は、「NO」を選択してください。）</t>
    <rPh sb="0" eb="2">
      <t>サボウ</t>
    </rPh>
    <rPh sb="2" eb="4">
      <t>エンテイ</t>
    </rPh>
    <rPh sb="36" eb="38">
      <t>イガイ</t>
    </rPh>
    <rPh sb="48" eb="50">
      <t>センタク</t>
    </rPh>
    <phoneticPr fontId="5"/>
  </si>
  <si>
    <t>施工場所コード</t>
    <phoneticPr fontId="5"/>
  </si>
  <si>
    <t>情報共有システム（ＡＳＰのみ）使用の有無</t>
    <phoneticPr fontId="5"/>
  </si>
  <si>
    <t>その他</t>
    <phoneticPr fontId="5"/>
  </si>
  <si>
    <t>直接工事費</t>
    <rPh sb="0" eb="2">
      <t>チョクセツ</t>
    </rPh>
    <rPh sb="2" eb="5">
      <t>コウジヒ</t>
    </rPh>
    <phoneticPr fontId="5"/>
  </si>
  <si>
    <r>
      <t>発注ファイル及び元請ファイルの直接工事費が</t>
    </r>
    <r>
      <rPr>
        <b/>
        <sz val="11"/>
        <rFont val="ＭＳ Ｐゴシック"/>
        <family val="3"/>
        <charset val="128"/>
      </rPr>
      <t>未入力</t>
    </r>
    <r>
      <rPr>
        <sz val="11"/>
        <rFont val="ＭＳ Ｐゴシック"/>
        <family val="3"/>
        <charset val="128"/>
      </rPr>
      <t/>
    </r>
    <phoneticPr fontId="5"/>
  </si>
  <si>
    <t>総合評価　標準Ⅰ型</t>
    <rPh sb="0" eb="2">
      <t>ソウゴウ</t>
    </rPh>
    <rPh sb="2" eb="4">
      <t>ヒョウカ</t>
    </rPh>
    <rPh sb="5" eb="7">
      <t>ヒョウジュン</t>
    </rPh>
    <rPh sb="8" eb="9">
      <t>ガタ</t>
    </rPh>
    <phoneticPr fontId="5"/>
  </si>
  <si>
    <t>総合評価　標準Ⅱ型</t>
    <rPh sb="0" eb="2">
      <t>ソウゴウ</t>
    </rPh>
    <rPh sb="2" eb="4">
      <t>ヒョウカ</t>
    </rPh>
    <rPh sb="5" eb="7">
      <t>ヒョウジュン</t>
    </rPh>
    <rPh sb="8" eb="9">
      <t>ガタ</t>
    </rPh>
    <phoneticPr fontId="5"/>
  </si>
  <si>
    <t>総合評価　簡易型</t>
    <rPh sb="0" eb="2">
      <t>ソウゴウ</t>
    </rPh>
    <rPh sb="2" eb="4">
      <t>ヒョウカ</t>
    </rPh>
    <rPh sb="5" eb="7">
      <t>カンイ</t>
    </rPh>
    <rPh sb="7" eb="8">
      <t>ガタ</t>
    </rPh>
    <phoneticPr fontId="5"/>
  </si>
  <si>
    <t>未入力の件数</t>
    <rPh sb="4" eb="6">
      <t>ケンスウ</t>
    </rPh>
    <phoneticPr fontId="5"/>
  </si>
  <si>
    <t>チェック
結果</t>
    <rPh sb="5" eb="7">
      <t>ケッカ</t>
    </rPh>
    <phoneticPr fontId="5"/>
  </si>
  <si>
    <t>設定作業日数</t>
  </si>
  <si>
    <t>設定作業不能日数</t>
  </si>
  <si>
    <t>共通仮設費（率分）を入力して下さい</t>
    <rPh sb="0" eb="5">
      <t>キョウツウカセツヒ</t>
    </rPh>
    <rPh sb="6" eb="7">
      <t>リツ</t>
    </rPh>
    <rPh sb="7" eb="8">
      <t>ブン</t>
    </rPh>
    <phoneticPr fontId="5"/>
  </si>
  <si>
    <r>
      <t>発注ファイルの共通仮設費（率分）が</t>
    </r>
    <r>
      <rPr>
        <b/>
        <sz val="11"/>
        <rFont val="ＭＳ Ｐゴシック"/>
        <family val="3"/>
        <charset val="128"/>
      </rPr>
      <t>未入力</t>
    </r>
    <r>
      <rPr>
        <sz val="11"/>
        <rFont val="ＭＳ Ｐゴシック"/>
        <family val="3"/>
        <charset val="128"/>
      </rPr>
      <t/>
    </r>
    <rPh sb="7" eb="12">
      <t>キョウツウカセツヒ</t>
    </rPh>
    <rPh sb="13" eb="14">
      <t>リツ</t>
    </rPh>
    <rPh sb="14" eb="15">
      <t>ブン</t>
    </rPh>
    <phoneticPr fontId="5"/>
  </si>
  <si>
    <t>　　　　　例）　（３）現場管理費 ： 受注者の金額が発注者の積算に対して過大　→　確認結果 ： 工期延伸に伴う社員等従業員給料手当の増加(元請に確認）　</t>
    <rPh sb="11" eb="13">
      <t>ゲンバ</t>
    </rPh>
    <rPh sb="13" eb="16">
      <t>カンリヒ</t>
    </rPh>
    <rPh sb="19" eb="22">
      <t>ジュチュウシャ</t>
    </rPh>
    <rPh sb="23" eb="25">
      <t>キンガク</t>
    </rPh>
    <rPh sb="26" eb="29">
      <t>ハッチュウシャ</t>
    </rPh>
    <rPh sb="30" eb="32">
      <t>セキサン</t>
    </rPh>
    <rPh sb="33" eb="34">
      <t>タイ</t>
    </rPh>
    <rPh sb="36" eb="38">
      <t>カダイ</t>
    </rPh>
    <rPh sb="41" eb="43">
      <t>カクニン</t>
    </rPh>
    <rPh sb="43" eb="45">
      <t>ケッカ</t>
    </rPh>
    <rPh sb="48" eb="50">
      <t>コウキ</t>
    </rPh>
    <rPh sb="50" eb="52">
      <t>エンシン</t>
    </rPh>
    <rPh sb="53" eb="54">
      <t>トモナ</t>
    </rPh>
    <rPh sb="55" eb="57">
      <t>シャイン</t>
    </rPh>
    <rPh sb="57" eb="58">
      <t>トウ</t>
    </rPh>
    <rPh sb="58" eb="61">
      <t>ジュウギョウイン</t>
    </rPh>
    <rPh sb="61" eb="63">
      <t>キュウリョウ</t>
    </rPh>
    <rPh sb="63" eb="65">
      <t>テアテ</t>
    </rPh>
    <rPh sb="66" eb="68">
      <t>ゾウカ</t>
    </rPh>
    <rPh sb="69" eb="71">
      <t>モトウケ</t>
    </rPh>
    <rPh sb="72" eb="74">
      <t>カクニン</t>
    </rPh>
    <phoneticPr fontId="5"/>
  </si>
  <si>
    <t>電気設備</t>
    <rPh sb="0" eb="2">
      <t>デンキ</t>
    </rPh>
    <rPh sb="2" eb="4">
      <t>セツビ</t>
    </rPh>
    <phoneticPr fontId="5"/>
  </si>
  <si>
    <t>通信設備</t>
    <rPh sb="0" eb="2">
      <t>ツウシン</t>
    </rPh>
    <rPh sb="2" eb="4">
      <t>セツビ</t>
    </rPh>
    <phoneticPr fontId="5"/>
  </si>
  <si>
    <t>受変電設備</t>
    <rPh sb="0" eb="1">
      <t>ジュ</t>
    </rPh>
    <rPh sb="1" eb="2">
      <t>ヘン</t>
    </rPh>
    <rPh sb="2" eb="3">
      <t>デン</t>
    </rPh>
    <rPh sb="3" eb="5">
      <t>セツビ</t>
    </rPh>
    <phoneticPr fontId="5"/>
  </si>
  <si>
    <t>暖冷房衛生設備</t>
    <rPh sb="0" eb="1">
      <t>ダン</t>
    </rPh>
    <rPh sb="1" eb="3">
      <t>レイボウ</t>
    </rPh>
    <rPh sb="3" eb="5">
      <t>エイセイ</t>
    </rPh>
    <rPh sb="5" eb="7">
      <t>セツビ</t>
    </rPh>
    <phoneticPr fontId="5"/>
  </si>
  <si>
    <t>機械設備</t>
    <rPh sb="0" eb="2">
      <t>キカイ</t>
    </rPh>
    <rPh sb="2" eb="4">
      <t>セツビ</t>
    </rPh>
    <phoneticPr fontId="5"/>
  </si>
  <si>
    <t>建築</t>
    <rPh sb="0" eb="2">
      <t>ケンチク</t>
    </rPh>
    <phoneticPr fontId="5"/>
  </si>
  <si>
    <t>木造建築</t>
    <rPh sb="0" eb="2">
      <t>モクゾウ</t>
    </rPh>
    <rPh sb="2" eb="4">
      <t>ケンチク</t>
    </rPh>
    <phoneticPr fontId="5"/>
  </si>
  <si>
    <t>プレハブ建築</t>
    <rPh sb="4" eb="6">
      <t>ケンチク</t>
    </rPh>
    <phoneticPr fontId="5"/>
  </si>
  <si>
    <t>港湾土木工事</t>
    <rPh sb="0" eb="2">
      <t>コウワン</t>
    </rPh>
    <rPh sb="2" eb="4">
      <t>ドボク</t>
    </rPh>
    <rPh sb="4" eb="6">
      <t>コウジ</t>
    </rPh>
    <phoneticPr fontId="5"/>
  </si>
  <si>
    <t>農林土木工事</t>
    <rPh sb="0" eb="2">
      <t>ノウリン</t>
    </rPh>
    <rPh sb="2" eb="4">
      <t>ドボク</t>
    </rPh>
    <rPh sb="4" eb="6">
      <t>コウジ</t>
    </rPh>
    <phoneticPr fontId="5"/>
  </si>
  <si>
    <t>-</t>
    <phoneticPr fontId="5"/>
  </si>
  <si>
    <t>水雷・傷害保険料</t>
    <phoneticPr fontId="5"/>
  </si>
  <si>
    <t>-</t>
    <phoneticPr fontId="5"/>
  </si>
  <si>
    <t>敷鉄板④</t>
    <phoneticPr fontId="5"/>
  </si>
  <si>
    <t>-</t>
    <phoneticPr fontId="5"/>
  </si>
  <si>
    <t>-</t>
    <phoneticPr fontId="5"/>
  </si>
  <si>
    <t>-</t>
    <phoneticPr fontId="5"/>
  </si>
  <si>
    <t>-</t>
    <phoneticPr fontId="5"/>
  </si>
  <si>
    <t>-</t>
    <phoneticPr fontId="5"/>
  </si>
  <si>
    <t>機器単体費の計上無し(機器の支給品がある工事は除く)</t>
    <rPh sb="2" eb="4">
      <t>タンタイ</t>
    </rPh>
    <rPh sb="6" eb="8">
      <t>ケイジョウ</t>
    </rPh>
    <rPh sb="8" eb="9">
      <t>ナシ</t>
    </rPh>
    <rPh sb="11" eb="13">
      <t>キキ</t>
    </rPh>
    <rPh sb="14" eb="17">
      <t>シキュウヒン</t>
    </rPh>
    <rPh sb="20" eb="22">
      <t>コウジ</t>
    </rPh>
    <rPh sb="23" eb="24">
      <t>ノゾ</t>
    </rPh>
    <phoneticPr fontId="4"/>
  </si>
  <si>
    <t>YESの場合：冬期の施工期間</t>
    <phoneticPr fontId="6"/>
  </si>
  <si>
    <t>建設</t>
    <rPh sb="0" eb="2">
      <t>ケンセツ</t>
    </rPh>
    <phoneticPr fontId="5"/>
  </si>
  <si>
    <t>上記が複合した工事</t>
    <rPh sb="0" eb="2">
      <t>ジョウキ</t>
    </rPh>
    <rPh sb="3" eb="5">
      <t>フクゴウ</t>
    </rPh>
    <phoneticPr fontId="4"/>
  </si>
  <si>
    <t>仮設材①</t>
    <phoneticPr fontId="5"/>
  </si>
  <si>
    <t>仮設材②</t>
    <phoneticPr fontId="5"/>
  </si>
  <si>
    <t>仮設材③</t>
    <phoneticPr fontId="5"/>
  </si>
  <si>
    <t>橋梁等架設支保工</t>
    <phoneticPr fontId="5"/>
  </si>
  <si>
    <t>橋梁用架設タワー等</t>
    <phoneticPr fontId="5"/>
  </si>
  <si>
    <t>橋梁用仮設桁設備</t>
    <phoneticPr fontId="5"/>
  </si>
  <si>
    <t>積み込み取り卸し費</t>
    <phoneticPr fontId="5"/>
  </si>
  <si>
    <t>％）</t>
    <phoneticPr fontId="5"/>
  </si>
  <si>
    <t>工事請負者選定の工事種別</t>
    <rPh sb="0" eb="2">
      <t>コウジ</t>
    </rPh>
    <rPh sb="2" eb="4">
      <t>ウケオイ</t>
    </rPh>
    <rPh sb="4" eb="5">
      <t>シャ</t>
    </rPh>
    <rPh sb="5" eb="7">
      <t>センテイ</t>
    </rPh>
    <rPh sb="8" eb="10">
      <t>コウジ</t>
    </rPh>
    <rPh sb="10" eb="12">
      <t>シュベツ</t>
    </rPh>
    <phoneticPr fontId="5"/>
  </si>
  <si>
    <t>「その他」の場合の記入欄</t>
    <rPh sb="3" eb="4">
      <t>タ</t>
    </rPh>
    <rPh sb="6" eb="8">
      <t>バアイ</t>
    </rPh>
    <rPh sb="9" eb="12">
      <t>キニュウラン</t>
    </rPh>
    <phoneticPr fontId="5"/>
  </si>
  <si>
    <t>当初積算工事価格</t>
    <rPh sb="0" eb="2">
      <t>トウショ</t>
    </rPh>
    <rPh sb="2" eb="4">
      <t>セキサン</t>
    </rPh>
    <rPh sb="4" eb="6">
      <t>コウジ</t>
    </rPh>
    <rPh sb="6" eb="8">
      <t>カカク</t>
    </rPh>
    <phoneticPr fontId="5"/>
  </si>
  <si>
    <t>％</t>
    <phoneticPr fontId="5"/>
  </si>
  <si>
    <t>契約工期(当初）</t>
    <rPh sb="0" eb="2">
      <t>ケイヤク</t>
    </rPh>
    <rPh sb="2" eb="4">
      <t>コウキ</t>
    </rPh>
    <rPh sb="5" eb="7">
      <t>トウショ</t>
    </rPh>
    <phoneticPr fontId="5"/>
  </si>
  <si>
    <t>年</t>
    <rPh sb="0" eb="1">
      <t>ネン</t>
    </rPh>
    <phoneticPr fontId="4"/>
  </si>
  <si>
    <t>月</t>
    <rPh sb="0" eb="1">
      <t>ツキ</t>
    </rPh>
    <phoneticPr fontId="4"/>
  </si>
  <si>
    <t>日</t>
    <rPh sb="0" eb="1">
      <t>ヒ</t>
    </rPh>
    <phoneticPr fontId="4"/>
  </si>
  <si>
    <t>契約工期(最終）</t>
    <rPh sb="0" eb="2">
      <t>ケイヤク</t>
    </rPh>
    <rPh sb="2" eb="4">
      <t>コウキ</t>
    </rPh>
    <rPh sb="5" eb="7">
      <t>サイシュウ</t>
    </rPh>
    <phoneticPr fontId="5"/>
  </si>
  <si>
    <t>入札契約方式</t>
    <rPh sb="0" eb="2">
      <t>ニュウサツ</t>
    </rPh>
    <rPh sb="2" eb="4">
      <t>ケイヤク</t>
    </rPh>
    <rPh sb="4" eb="6">
      <t>ホウシキ</t>
    </rPh>
    <phoneticPr fontId="5"/>
  </si>
  <si>
    <t>不明選択</t>
    <rPh sb="0" eb="2">
      <t>フメイ</t>
    </rPh>
    <rPh sb="2" eb="4">
      <t>センタク</t>
    </rPh>
    <phoneticPr fontId="5"/>
  </si>
  <si>
    <t>間接工事費</t>
    <rPh sb="0" eb="2">
      <t>カンセツ</t>
    </rPh>
    <rPh sb="2" eb="5">
      <t>コウジヒ</t>
    </rPh>
    <phoneticPr fontId="4"/>
  </si>
  <si>
    <t>機器間接費</t>
    <rPh sb="0" eb="2">
      <t>キキ</t>
    </rPh>
    <rPh sb="2" eb="4">
      <t>カンセツ</t>
    </rPh>
    <rPh sb="4" eb="5">
      <t>ヒ</t>
    </rPh>
    <phoneticPr fontId="4"/>
  </si>
  <si>
    <t>工事価格</t>
    <rPh sb="0" eb="2">
      <t>コウジ</t>
    </rPh>
    <rPh sb="2" eb="4">
      <t>カカク</t>
    </rPh>
    <phoneticPr fontId="4"/>
  </si>
  <si>
    <t>Sumifのフラグ</t>
    <phoneticPr fontId="4"/>
  </si>
  <si>
    <t>準備費</t>
    <rPh sb="0" eb="2">
      <t>ジュンビ</t>
    </rPh>
    <rPh sb="2" eb="3">
      <t>ヒ</t>
    </rPh>
    <phoneticPr fontId="4"/>
  </si>
  <si>
    <t>共通仮設費</t>
    <rPh sb="0" eb="2">
      <t>キョウツウ</t>
    </rPh>
    <rPh sb="2" eb="4">
      <t>カセツ</t>
    </rPh>
    <rPh sb="4" eb="5">
      <t>ヒ</t>
    </rPh>
    <phoneticPr fontId="4"/>
  </si>
  <si>
    <t>共通仮設費積算対象金額</t>
    <phoneticPr fontId="4"/>
  </si>
  <si>
    <t>契約日から着手指定日まで30日以上あった理由</t>
    <rPh sb="0" eb="3">
      <t>ケイヤクビ</t>
    </rPh>
    <rPh sb="5" eb="7">
      <t>チャクシュ</t>
    </rPh>
    <rPh sb="7" eb="10">
      <t>シテイビ</t>
    </rPh>
    <rPh sb="14" eb="15">
      <t>ニチ</t>
    </rPh>
    <rPh sb="15" eb="17">
      <t>イジョウ</t>
    </rPh>
    <rPh sb="20" eb="22">
      <t>リユウ</t>
    </rPh>
    <phoneticPr fontId="5"/>
  </si>
  <si>
    <t>直接工事費内訳及び諸経費率式に影響を与えていると考えられる二次製品等に関する調査</t>
    <phoneticPr fontId="5"/>
  </si>
  <si>
    <t>補償の有無</t>
    <rPh sb="0" eb="2">
      <t>ホショウ</t>
    </rPh>
    <rPh sb="3" eb="5">
      <t>ウム</t>
    </rPh>
    <phoneticPr fontId="5"/>
  </si>
  <si>
    <t>補償方法選択</t>
    <rPh sb="0" eb="2">
      <t>ホショウ</t>
    </rPh>
    <rPh sb="2" eb="4">
      <t>ホウホウ</t>
    </rPh>
    <rPh sb="4" eb="6">
      <t>センタク</t>
    </rPh>
    <phoneticPr fontId="5"/>
  </si>
  <si>
    <t>情報化施工</t>
    <rPh sb="0" eb="3">
      <t>ジョウホウカ</t>
    </rPh>
    <rPh sb="3" eb="5">
      <t>セコウ</t>
    </rPh>
    <phoneticPr fontId="5"/>
  </si>
  <si>
    <t>作業制約時間</t>
    <rPh sb="0" eb="2">
      <t>サギョウ</t>
    </rPh>
    <rPh sb="2" eb="4">
      <t>セイヤク</t>
    </rPh>
    <rPh sb="4" eb="6">
      <t>ジカン</t>
    </rPh>
    <phoneticPr fontId="5"/>
  </si>
  <si>
    <t>一般事項</t>
    <rPh sb="0" eb="2">
      <t>イッパン</t>
    </rPh>
    <rPh sb="2" eb="4">
      <t>ジコウ</t>
    </rPh>
    <phoneticPr fontId="5"/>
  </si>
  <si>
    <t>工事費</t>
    <rPh sb="0" eb="3">
      <t>コウジヒ</t>
    </rPh>
    <phoneticPr fontId="5"/>
  </si>
  <si>
    <t>発注形態</t>
    <rPh sb="0" eb="2">
      <t>ハッチュウ</t>
    </rPh>
    <rPh sb="2" eb="4">
      <t>ケイタイ</t>
    </rPh>
    <phoneticPr fontId="5"/>
  </si>
  <si>
    <t>管理区分</t>
    <rPh sb="0" eb="2">
      <t>カンリ</t>
    </rPh>
    <rPh sb="2" eb="4">
      <t>クブン</t>
    </rPh>
    <phoneticPr fontId="5"/>
  </si>
  <si>
    <t>工期</t>
    <rPh sb="0" eb="2">
      <t>コウキ</t>
    </rPh>
    <phoneticPr fontId="5"/>
  </si>
  <si>
    <t>作業不能の要因</t>
    <rPh sb="0" eb="2">
      <t>サギョウ</t>
    </rPh>
    <rPh sb="2" eb="4">
      <t>フノウ</t>
    </rPh>
    <rPh sb="5" eb="7">
      <t>ヨウイン</t>
    </rPh>
    <phoneticPr fontId="5"/>
  </si>
  <si>
    <t>施工分散</t>
    <rPh sb="0" eb="2">
      <t>セコウ</t>
    </rPh>
    <rPh sb="2" eb="4">
      <t>ブンサン</t>
    </rPh>
    <phoneticPr fontId="5"/>
  </si>
  <si>
    <t>Yes, No選択</t>
    <rPh sb="7" eb="9">
      <t>センタク</t>
    </rPh>
    <phoneticPr fontId="5"/>
  </si>
  <si>
    <t>概算概略発注</t>
    <rPh sb="0" eb="2">
      <t>ガイサン</t>
    </rPh>
    <rPh sb="2" eb="4">
      <t>ガイリャク</t>
    </rPh>
    <rPh sb="4" eb="6">
      <t>ハッチュウ</t>
    </rPh>
    <phoneticPr fontId="5"/>
  </si>
  <si>
    <t>その他</t>
    <rPh sb="0" eb="3">
      <t>ソノタ</t>
    </rPh>
    <phoneticPr fontId="5"/>
  </si>
  <si>
    <t>準備費</t>
    <rPh sb="0" eb="2">
      <t>ジュンビ</t>
    </rPh>
    <rPh sb="2" eb="3">
      <t>ヒ</t>
    </rPh>
    <phoneticPr fontId="5"/>
  </si>
  <si>
    <t>○</t>
    <phoneticPr fontId="5"/>
  </si>
  <si>
    <t>ＰＣ</t>
    <phoneticPr fontId="5"/>
  </si>
  <si>
    <t>しゅんせつ</t>
    <phoneticPr fontId="5"/>
  </si>
  <si>
    <t>Ⅰ</t>
    <phoneticPr fontId="5"/>
  </si>
  <si>
    <t>Ⅱ</t>
    <phoneticPr fontId="5"/>
  </si>
  <si>
    <t>Ⅲ</t>
    <phoneticPr fontId="5"/>
  </si>
  <si>
    <t>Ⅳ</t>
    <phoneticPr fontId="5"/>
  </si>
  <si>
    <t>Ⅴ</t>
    <phoneticPr fontId="5"/>
  </si>
  <si>
    <t>Ⅵ</t>
    <phoneticPr fontId="5"/>
  </si>
  <si>
    <t xml:space="preserve">指名競争入札 </t>
    <phoneticPr fontId="5"/>
  </si>
  <si>
    <t>随意契約</t>
    <phoneticPr fontId="5"/>
  </si>
  <si>
    <t>インフレスライド</t>
    <phoneticPr fontId="5"/>
  </si>
  <si>
    <t>機器の製作のみの工事</t>
    <phoneticPr fontId="4"/>
  </si>
  <si>
    <t>資機材の保管</t>
    <phoneticPr fontId="5"/>
  </si>
  <si>
    <t>発注者指定</t>
    <phoneticPr fontId="5"/>
  </si>
  <si>
    <t>３ＤMＧ（バックホウ）</t>
    <phoneticPr fontId="5"/>
  </si>
  <si>
    <t>３ＤMＧ（ブルドーザ）</t>
    <phoneticPr fontId="5"/>
  </si>
  <si>
    <t>MC（ブルドーザ）</t>
    <phoneticPr fontId="5"/>
  </si>
  <si>
    <t>MC（モータグレーダ）</t>
    <phoneticPr fontId="5"/>
  </si>
  <si>
    <t>TS出来形管理（舗装工）</t>
    <phoneticPr fontId="5"/>
  </si>
  <si>
    <t>TS出来形管理（土工）</t>
    <phoneticPr fontId="5"/>
  </si>
  <si>
    <t>ソフトウェアメーカー</t>
    <phoneticPr fontId="5"/>
  </si>
  <si>
    <t>コンサル会社</t>
    <phoneticPr fontId="5"/>
  </si>
  <si>
    <t>測量会社</t>
    <phoneticPr fontId="5"/>
  </si>
  <si>
    <t>その他</t>
    <phoneticPr fontId="5"/>
  </si>
  <si>
    <t>A-9　施工管理で使用するＯＡ機器の費用</t>
    <phoneticPr fontId="5"/>
  </si>
  <si>
    <t>外注</t>
    <phoneticPr fontId="5"/>
  </si>
  <si>
    <t>直工+支給材+無償機械+事業損+準備費の処分費</t>
    <phoneticPr fontId="4"/>
  </si>
  <si>
    <t>A-6　ＰＣ上部工、アンカ－工等の緊張管理、グラウト配合試験等に要した費用</t>
    <rPh sb="32" eb="33">
      <t>ヨウ</t>
    </rPh>
    <rPh sb="35" eb="37">
      <t>ヒヨウ</t>
    </rPh>
    <phoneticPr fontId="5"/>
  </si>
  <si>
    <t>A-7　トンネル工（ＮＡＴＭ）の計測Ａに要した費用</t>
    <rPh sb="20" eb="21">
      <t>ヨウ</t>
    </rPh>
    <rPh sb="23" eb="25">
      <t>ヒヨウ</t>
    </rPh>
    <phoneticPr fontId="5"/>
  </si>
  <si>
    <t>A-8　塗装膜厚施工管理に要した費用</t>
    <rPh sb="13" eb="14">
      <t>ヨウ</t>
    </rPh>
    <rPh sb="16" eb="18">
      <t>ヒヨウ</t>
    </rPh>
    <phoneticPr fontId="5"/>
  </si>
  <si>
    <t>A-10　建設発生土情報交換システムの登録に要した費用</t>
    <rPh sb="5" eb="7">
      <t>ケンセツ</t>
    </rPh>
    <rPh sb="7" eb="9">
      <t>ハッセイ</t>
    </rPh>
    <rPh sb="9" eb="10">
      <t>ド</t>
    </rPh>
    <rPh sb="10" eb="12">
      <t>ジョウホウ</t>
    </rPh>
    <rPh sb="12" eb="14">
      <t>コウカン</t>
    </rPh>
    <rPh sb="19" eb="21">
      <t>トウロク</t>
    </rPh>
    <rPh sb="22" eb="23">
      <t>ヨウ</t>
    </rPh>
    <rPh sb="25" eb="27">
      <t>ヒヨウ</t>
    </rPh>
    <phoneticPr fontId="5"/>
  </si>
  <si>
    <t>A-11　建設副産物情報交換システムの登録に要した費用</t>
    <rPh sb="5" eb="7">
      <t>ケンセツ</t>
    </rPh>
    <rPh sb="7" eb="10">
      <t>フクサンブツ</t>
    </rPh>
    <rPh sb="10" eb="12">
      <t>ジョウホウ</t>
    </rPh>
    <rPh sb="12" eb="14">
      <t>コウカン</t>
    </rPh>
    <rPh sb="19" eb="21">
      <t>トウロク</t>
    </rPh>
    <rPh sb="22" eb="23">
      <t>ヨウ</t>
    </rPh>
    <rPh sb="25" eb="27">
      <t>ヒヨウ</t>
    </rPh>
    <phoneticPr fontId="5"/>
  </si>
  <si>
    <t>　(４)機械器具等損料</t>
    <rPh sb="6" eb="8">
      <t>キグ</t>
    </rPh>
    <phoneticPr fontId="5"/>
  </si>
  <si>
    <t>黄色のｾﾙに入力して下さい。緑色のｾﾙは自動で値が入ります。</t>
    <phoneticPr fontId="5"/>
  </si>
  <si>
    <t>Ｅ</t>
    <phoneticPr fontId="5"/>
  </si>
  <si>
    <t>作業実施者</t>
    <rPh sb="0" eb="2">
      <t>サギョウ</t>
    </rPh>
    <rPh sb="2" eb="4">
      <t>ジッシ</t>
    </rPh>
    <rPh sb="4" eb="5">
      <t>シャ</t>
    </rPh>
    <phoneticPr fontId="5"/>
  </si>
  <si>
    <t>対象工種</t>
    <rPh sb="0" eb="2">
      <t>タイショウ</t>
    </rPh>
    <rPh sb="2" eb="4">
      <t>コウシュ</t>
    </rPh>
    <phoneticPr fontId="5"/>
  </si>
  <si>
    <t>A-1　品質管理基準に記載されている項目（必須及びその他）に要した費用</t>
    <rPh sb="21" eb="23">
      <t>ヒッス</t>
    </rPh>
    <rPh sb="23" eb="24">
      <t>オヨ</t>
    </rPh>
    <rPh sb="27" eb="28">
      <t>タ</t>
    </rPh>
    <rPh sb="30" eb="31">
      <t>ヨウ</t>
    </rPh>
    <rPh sb="33" eb="35">
      <t>ヒヨウ</t>
    </rPh>
    <phoneticPr fontId="5"/>
  </si>
  <si>
    <t>自社</t>
    <rPh sb="0" eb="2">
      <t>ジシャ</t>
    </rPh>
    <phoneticPr fontId="5"/>
  </si>
  <si>
    <t>有り</t>
    <rPh sb="0" eb="1">
      <t>ア</t>
    </rPh>
    <phoneticPr fontId="5"/>
  </si>
  <si>
    <t>A-2　出来形管理のための測量、図面作成、写真管理に要した費用</t>
    <rPh sb="26" eb="27">
      <t>ヨウ</t>
    </rPh>
    <rPh sb="29" eb="31">
      <t>ヒヨウ</t>
    </rPh>
    <phoneticPr fontId="5"/>
  </si>
  <si>
    <t>河川土工</t>
    <rPh sb="0" eb="2">
      <t>カセン</t>
    </rPh>
    <rPh sb="2" eb="4">
      <t>ドコウ</t>
    </rPh>
    <phoneticPr fontId="5"/>
  </si>
  <si>
    <t>無し</t>
    <rPh sb="0" eb="1">
      <t>ナ</t>
    </rPh>
    <phoneticPr fontId="5"/>
  </si>
  <si>
    <t>A-3　工程管理のための資料作成等に要した費用</t>
    <rPh sb="18" eb="19">
      <t>ヨウ</t>
    </rPh>
    <rPh sb="21" eb="23">
      <t>ヒヨウ</t>
    </rPh>
    <phoneticPr fontId="5"/>
  </si>
  <si>
    <t>道路土工</t>
    <rPh sb="0" eb="2">
      <t>ドウロ</t>
    </rPh>
    <rPh sb="2" eb="4">
      <t>ドコウ</t>
    </rPh>
    <phoneticPr fontId="5"/>
  </si>
  <si>
    <t>A-4　完成図、マイクロフィルムの作成及び電子納品等に要した費用</t>
    <rPh sb="27" eb="28">
      <t>ヨウ</t>
    </rPh>
    <rPh sb="30" eb="32">
      <t>ヒヨウ</t>
    </rPh>
    <phoneticPr fontId="5"/>
  </si>
  <si>
    <t>舗装工</t>
    <rPh sb="0" eb="2">
      <t>ホソウ</t>
    </rPh>
    <rPh sb="2" eb="3">
      <t>コウ</t>
    </rPh>
    <phoneticPr fontId="5"/>
  </si>
  <si>
    <t>A-5　建設材料の品質記録保存に要した費用</t>
    <rPh sb="16" eb="17">
      <t>ヨウ</t>
    </rPh>
    <rPh sb="19" eb="21">
      <t>ヒヨウ</t>
    </rPh>
    <phoneticPr fontId="5"/>
  </si>
  <si>
    <t>３．下請の金額確認</t>
    <rPh sb="2" eb="4">
      <t>シタウケ</t>
    </rPh>
    <rPh sb="5" eb="7">
      <t>キンガク</t>
    </rPh>
    <rPh sb="7" eb="9">
      <t>カクニン</t>
    </rPh>
    <phoneticPr fontId="5"/>
  </si>
  <si>
    <t>外注一般管理費等</t>
    <rPh sb="0" eb="2">
      <t>ガイチュウ</t>
    </rPh>
    <rPh sb="2" eb="4">
      <t>イッパン</t>
    </rPh>
    <rPh sb="4" eb="7">
      <t>カンリヒ</t>
    </rPh>
    <rPh sb="7" eb="8">
      <t>トウ</t>
    </rPh>
    <phoneticPr fontId="5"/>
  </si>
  <si>
    <t>運搬費</t>
    <phoneticPr fontId="5"/>
  </si>
  <si>
    <t>当該二次製品材料費</t>
    <phoneticPr fontId="5"/>
  </si>
  <si>
    <t>　（５）工事一時中止に伴う増加費用
　　　　（率項目+積上げ項目）</t>
    <rPh sb="4" eb="6">
      <t>コウジ</t>
    </rPh>
    <rPh sb="6" eb="8">
      <t>イチジ</t>
    </rPh>
    <rPh sb="8" eb="10">
      <t>チュウシ</t>
    </rPh>
    <rPh sb="11" eb="12">
      <t>トモナ</t>
    </rPh>
    <rPh sb="13" eb="15">
      <t>ゾウカ</t>
    </rPh>
    <rPh sb="15" eb="17">
      <t>ヒヨウ</t>
    </rPh>
    <phoneticPr fontId="5"/>
  </si>
  <si>
    <t>工事一時中止に伴う増加費用（率項目+積上げ項目）</t>
    <phoneticPr fontId="5"/>
  </si>
  <si>
    <t>1.工事一時中止に伴う増加費用（率項目+積上げ項目）を入力して下さい
2.費用が発生しない場合は０を入力して下さい</t>
    <rPh sb="40" eb="42">
      <t>ハッセイ</t>
    </rPh>
    <phoneticPr fontId="5"/>
  </si>
  <si>
    <r>
      <t>発注ファイルの工事一時中止に伴う増加費用（率項目+積上げ項目）が</t>
    </r>
    <r>
      <rPr>
        <b/>
        <sz val="10"/>
        <rFont val="ＭＳ Ｐゴシック"/>
        <family val="3"/>
        <charset val="128"/>
      </rPr>
      <t>未入力</t>
    </r>
    <phoneticPr fontId="5"/>
  </si>
  <si>
    <t>1：市街地</t>
  </si>
  <si>
    <t>2：山間僻地及び離島</t>
  </si>
  <si>
    <t>1.発注ファイル
「工事費」シートで工事費内訳を入力して下さい。入力することで工事価格が自動計算されます。
2.元請ファイル
「一般事項」シートで工事請負金額を入力してください。入力することで「工事費」シートに工事価格が自動計算されます。</t>
    <rPh sb="2" eb="4">
      <t>ハッチュウ</t>
    </rPh>
    <rPh sb="10" eb="13">
      <t>コウジヒ</t>
    </rPh>
    <rPh sb="18" eb="21">
      <t>コウジヒ</t>
    </rPh>
    <rPh sb="32" eb="34">
      <t>ニュウリョク</t>
    </rPh>
    <rPh sb="39" eb="41">
      <t>コウジ</t>
    </rPh>
    <rPh sb="41" eb="43">
      <t>カカク</t>
    </rPh>
    <rPh sb="44" eb="46">
      <t>ジドウ</t>
    </rPh>
    <rPh sb="46" eb="48">
      <t>ケイサン</t>
    </rPh>
    <phoneticPr fontId="5"/>
  </si>
  <si>
    <t>工事情報</t>
    <rPh sb="0" eb="2">
      <t>コウジ</t>
    </rPh>
    <rPh sb="2" eb="4">
      <t>ジョウホウ</t>
    </rPh>
    <phoneticPr fontId="5"/>
  </si>
  <si>
    <t>特別区</t>
    <rPh sb="0" eb="2">
      <t>トクベツ</t>
    </rPh>
    <rPh sb="2" eb="3">
      <t>ク</t>
    </rPh>
    <phoneticPr fontId="5"/>
  </si>
  <si>
    <t>東京都</t>
    <rPh sb="0" eb="3">
      <t>トウキョウト</t>
    </rPh>
    <phoneticPr fontId="5"/>
  </si>
  <si>
    <t>要確認98</t>
    <phoneticPr fontId="5"/>
  </si>
  <si>
    <t>要確認99</t>
    <phoneticPr fontId="5"/>
  </si>
  <si>
    <t>要確認100</t>
    <phoneticPr fontId="5"/>
  </si>
  <si>
    <t>要確認101</t>
    <phoneticPr fontId="5"/>
  </si>
  <si>
    <t>要確認102</t>
    <phoneticPr fontId="5"/>
  </si>
  <si>
    <r>
      <t>要確認10</t>
    </r>
    <r>
      <rPr>
        <sz val="11"/>
        <rFont val="ＭＳ Ｐゴシック"/>
        <family val="3"/>
        <charset val="128"/>
      </rPr>
      <t>3</t>
    </r>
    <phoneticPr fontId="5"/>
  </si>
  <si>
    <t>元請ファイル</t>
    <rPh sb="0" eb="1">
      <t>モト</t>
    </rPh>
    <rPh sb="1" eb="2">
      <t>ウ</t>
    </rPh>
    <phoneticPr fontId="5"/>
  </si>
  <si>
    <t>②間接工事費</t>
    <rPh sb="1" eb="3">
      <t>カンセツ</t>
    </rPh>
    <rPh sb="3" eb="6">
      <t>コウジヒ</t>
    </rPh>
    <phoneticPr fontId="5"/>
  </si>
  <si>
    <t>施工場所コード</t>
    <rPh sb="0" eb="2">
      <t>セコウ</t>
    </rPh>
    <rPh sb="2" eb="4">
      <t>バショ</t>
    </rPh>
    <phoneticPr fontId="4"/>
  </si>
  <si>
    <t>工事場所が現道上、あるいは現道の側で、交通規制を伴う一般交通の影響を受けた。</t>
    <rPh sb="19" eb="21">
      <t>コウツウ</t>
    </rPh>
    <rPh sb="21" eb="23">
      <t>キセイ</t>
    </rPh>
    <rPh sb="24" eb="25">
      <t>トモナ</t>
    </rPh>
    <phoneticPr fontId="5"/>
  </si>
  <si>
    <t>供用形態</t>
    <rPh sb="0" eb="2">
      <t>キョウヨウ</t>
    </rPh>
    <rPh sb="2" eb="4">
      <t>ケイタイ</t>
    </rPh>
    <phoneticPr fontId="5"/>
  </si>
  <si>
    <t>車線規制方法</t>
    <rPh sb="0" eb="2">
      <t>シャセン</t>
    </rPh>
    <rPh sb="2" eb="4">
      <t>キセイ</t>
    </rPh>
    <rPh sb="4" eb="6">
      <t>ホウホウ</t>
    </rPh>
    <phoneticPr fontId="5"/>
  </si>
  <si>
    <t>YESの場合：車線の形態</t>
    <rPh sb="7" eb="9">
      <t>シャセン</t>
    </rPh>
    <rPh sb="10" eb="12">
      <t>ケイタイ</t>
    </rPh>
    <phoneticPr fontId="6"/>
  </si>
  <si>
    <t>YESの場合：工事中止命令に伴う工期延期日数</t>
    <phoneticPr fontId="6"/>
  </si>
  <si>
    <t>YESの場合：　実日数</t>
    <rPh sb="8" eb="9">
      <t>ジツ</t>
    </rPh>
    <rPh sb="9" eb="11">
      <t>ニッスウ</t>
    </rPh>
    <phoneticPr fontId="6"/>
  </si>
  <si>
    <t>１．占用許可　　　　２．使用許可　　　　　　　　　　　　　　　　　理由３：</t>
    <rPh sb="2" eb="4">
      <t>センヨウ</t>
    </rPh>
    <rPh sb="4" eb="6">
      <t>キョカ</t>
    </rPh>
    <rPh sb="12" eb="14">
      <t>シヨウ</t>
    </rPh>
    <rPh sb="14" eb="16">
      <t>キョカ</t>
    </rPh>
    <phoneticPr fontId="5"/>
  </si>
  <si>
    <t>YESの場合：説明回数</t>
    <phoneticPr fontId="6"/>
  </si>
  <si>
    <t>占用許可</t>
  </si>
  <si>
    <t>使用許可</t>
  </si>
  <si>
    <t>用地取得</t>
  </si>
  <si>
    <t>地元説明</t>
  </si>
  <si>
    <t>）</t>
  </si>
  <si>
    <t>積上げ</t>
    <rPh sb="0" eb="2">
      <t>ツミア</t>
    </rPh>
    <phoneticPr fontId="5"/>
  </si>
  <si>
    <t>政令指定都市</t>
    <rPh sb="0" eb="2">
      <t>セイレイ</t>
    </rPh>
    <rPh sb="2" eb="4">
      <t>シテイ</t>
    </rPh>
    <rPh sb="4" eb="6">
      <t>トシ</t>
    </rPh>
    <phoneticPr fontId="5"/>
  </si>
  <si>
    <t>工事概要</t>
    <rPh sb="0" eb="2">
      <t>コウジ</t>
    </rPh>
    <rPh sb="2" eb="4">
      <t>ガイヨウ</t>
    </rPh>
    <phoneticPr fontId="5"/>
  </si>
  <si>
    <t>各種台帳等</t>
    <phoneticPr fontId="5"/>
  </si>
  <si>
    <t>営繕費</t>
    <phoneticPr fontId="5"/>
  </si>
  <si>
    <t>建物費</t>
    <phoneticPr fontId="5"/>
  </si>
  <si>
    <r>
      <t>1.直接工事費及び間接工事費等に計上漏れはないか？
2.一般管理費等の項目は、工事価格から工事原価を差し引いた金額です。</t>
    </r>
    <r>
      <rPr>
        <b/>
        <sz val="10"/>
        <rFont val="ＭＳ Ｐゴシック"/>
        <family val="3"/>
        <charset val="128"/>
      </rPr>
      <t>直接工事費や間接工事費等に計上漏れがあると一般管理費等の金額が大きくなります。計上漏れがないか確認</t>
    </r>
    <r>
      <rPr>
        <sz val="10"/>
        <rFont val="ＭＳ Ｐゴシック"/>
        <family val="3"/>
        <charset val="128"/>
      </rPr>
      <t>して下さい</t>
    </r>
    <rPh sb="28" eb="30">
      <t>イッパン</t>
    </rPh>
    <rPh sb="30" eb="33">
      <t>カンリヒ</t>
    </rPh>
    <rPh sb="33" eb="34">
      <t>トウ</t>
    </rPh>
    <rPh sb="35" eb="37">
      <t>コウモク</t>
    </rPh>
    <rPh sb="45" eb="47">
      <t>コウジ</t>
    </rPh>
    <rPh sb="47" eb="49">
      <t>ゲンカ</t>
    </rPh>
    <rPh sb="50" eb="51">
      <t>サ</t>
    </rPh>
    <rPh sb="52" eb="53">
      <t>ヒ</t>
    </rPh>
    <rPh sb="55" eb="57">
      <t>キンガク</t>
    </rPh>
    <rPh sb="99" eb="101">
      <t>ケイジョウ</t>
    </rPh>
    <rPh sb="101" eb="102">
      <t>モ</t>
    </rPh>
    <rPh sb="107" eb="109">
      <t>カクニン</t>
    </rPh>
    <rPh sb="111" eb="112">
      <t>クダ</t>
    </rPh>
    <phoneticPr fontId="5"/>
  </si>
  <si>
    <t>補償費</t>
    <rPh sb="0" eb="2">
      <t>ホショウ</t>
    </rPh>
    <rPh sb="2" eb="3">
      <t>ヒ</t>
    </rPh>
    <phoneticPr fontId="5"/>
  </si>
  <si>
    <r>
      <t>発注ファイル及び元請ファイルの補償費が</t>
    </r>
    <r>
      <rPr>
        <b/>
        <sz val="11"/>
        <rFont val="ＭＳ Ｐゴシック"/>
        <family val="3"/>
        <charset val="128"/>
      </rPr>
      <t>未入力</t>
    </r>
    <r>
      <rPr>
        <sz val="11"/>
        <rFont val="ＭＳ Ｐゴシック"/>
        <family val="3"/>
        <charset val="128"/>
      </rPr>
      <t/>
    </r>
    <rPh sb="15" eb="17">
      <t>ホショウ</t>
    </rPh>
    <rPh sb="17" eb="18">
      <t>ヒ</t>
    </rPh>
    <phoneticPr fontId="5"/>
  </si>
  <si>
    <t>1.補償費を入力して下さい
2.費用が発生しない場合は、0を入力して下さい</t>
    <rPh sb="2" eb="4">
      <t>ホショウ</t>
    </rPh>
    <rPh sb="4" eb="5">
      <t>ヒ</t>
    </rPh>
    <rPh sb="16" eb="18">
      <t>ヒヨウ</t>
    </rPh>
    <rPh sb="19" eb="21">
      <t>ハッセイ</t>
    </rPh>
    <rPh sb="24" eb="26">
      <t>バアイ</t>
    </rPh>
    <rPh sb="30" eb="32">
      <t>ニュウリョク</t>
    </rPh>
    <rPh sb="34" eb="35">
      <t>クダ</t>
    </rPh>
    <phoneticPr fontId="5"/>
  </si>
  <si>
    <r>
      <t>発注ファイルの補償費が</t>
    </r>
    <r>
      <rPr>
        <b/>
        <sz val="11"/>
        <rFont val="ＭＳ Ｐゴシック"/>
        <family val="3"/>
        <charset val="128"/>
      </rPr>
      <t>未入力</t>
    </r>
    <r>
      <rPr>
        <sz val="11"/>
        <rFont val="ＭＳ Ｐゴシック"/>
        <family val="3"/>
        <charset val="128"/>
      </rPr>
      <t/>
    </r>
    <rPh sb="7" eb="9">
      <t>ホショウ</t>
    </rPh>
    <rPh sb="9" eb="10">
      <t>ヒ</t>
    </rPh>
    <phoneticPr fontId="5"/>
  </si>
  <si>
    <r>
      <t>元請ファイルの補償費が</t>
    </r>
    <r>
      <rPr>
        <b/>
        <sz val="11"/>
        <rFont val="ＭＳ Ｐゴシック"/>
        <family val="3"/>
        <charset val="128"/>
      </rPr>
      <t>未入力</t>
    </r>
    <r>
      <rPr>
        <sz val="11"/>
        <rFont val="ＭＳ Ｐゴシック"/>
        <family val="3"/>
        <charset val="128"/>
      </rPr>
      <t/>
    </r>
    <rPh sb="7" eb="9">
      <t>ホショウ</t>
    </rPh>
    <rPh sb="9" eb="10">
      <t>ヒ</t>
    </rPh>
    <phoneticPr fontId="5"/>
  </si>
  <si>
    <t>発注ファイルに費用計上があるのに、元請ファイルに実績額の計上がない</t>
    <rPh sb="17" eb="19">
      <t>モトウケ</t>
    </rPh>
    <phoneticPr fontId="5"/>
  </si>
  <si>
    <t>元請ファイルに実績費用を計上して下さい</t>
    <rPh sb="0" eb="2">
      <t>モトウケ</t>
    </rPh>
    <rPh sb="7" eb="9">
      <t>ジッセキ</t>
    </rPh>
    <rPh sb="9" eb="11">
      <t>ヒヨウ</t>
    </rPh>
    <rPh sb="12" eb="14">
      <t>ケイジョウ</t>
    </rPh>
    <rPh sb="16" eb="17">
      <t>クダ</t>
    </rPh>
    <phoneticPr fontId="5"/>
  </si>
  <si>
    <t>発注ファイルに費用計上がないのに、元請ファイルに費用計上がある</t>
    <rPh sb="17" eb="19">
      <t>モトウケ</t>
    </rPh>
    <rPh sb="24" eb="26">
      <t>ヒヨウ</t>
    </rPh>
    <phoneticPr fontId="5"/>
  </si>
  <si>
    <t>元請ファイルの計上金額は「(3)現場管理費 リ_補償費」に計上修正してください</t>
    <rPh sb="0" eb="2">
      <t>モトウケ</t>
    </rPh>
    <rPh sb="7" eb="9">
      <t>ケイジョウ</t>
    </rPh>
    <rPh sb="9" eb="11">
      <t>キンガク</t>
    </rPh>
    <rPh sb="16" eb="18">
      <t>ゲンバ</t>
    </rPh>
    <rPh sb="18" eb="21">
      <t>カンリヒ</t>
    </rPh>
    <rPh sb="24" eb="27">
      <t>ホショウヒ</t>
    </rPh>
    <rPh sb="29" eb="31">
      <t>ケイジョウ</t>
    </rPh>
    <rPh sb="31" eb="33">
      <t>シュウセイ</t>
    </rPh>
    <phoneticPr fontId="5"/>
  </si>
  <si>
    <t>要確認110</t>
    <phoneticPr fontId="5"/>
  </si>
  <si>
    <t>共通仮設費</t>
    <rPh sb="0" eb="2">
      <t>キョウツウ</t>
    </rPh>
    <rPh sb="2" eb="5">
      <t>カセツヒ</t>
    </rPh>
    <phoneticPr fontId="5"/>
  </si>
  <si>
    <t>③</t>
    <phoneticPr fontId="5"/>
  </si>
  <si>
    <t>(１)</t>
    <phoneticPr fontId="5"/>
  </si>
  <si>
    <t>直接工事費を入力して下さい</t>
    <rPh sb="10" eb="11">
      <t>クダ</t>
    </rPh>
    <phoneticPr fontId="5"/>
  </si>
  <si>
    <r>
      <t>発注ファイルの直接工事費が</t>
    </r>
    <r>
      <rPr>
        <b/>
        <sz val="11"/>
        <rFont val="ＭＳ Ｐゴシック"/>
        <family val="3"/>
        <charset val="128"/>
      </rPr>
      <t>未入力</t>
    </r>
    <r>
      <rPr>
        <sz val="11"/>
        <rFont val="ＭＳ Ｐゴシック"/>
        <family val="3"/>
        <charset val="128"/>
      </rPr>
      <t/>
    </r>
    <phoneticPr fontId="5"/>
  </si>
  <si>
    <r>
      <t>元請ファイルの直接工事費が</t>
    </r>
    <r>
      <rPr>
        <b/>
        <sz val="11"/>
        <rFont val="ＭＳ Ｐゴシック"/>
        <family val="3"/>
        <charset val="128"/>
      </rPr>
      <t>未入力</t>
    </r>
    <r>
      <rPr>
        <sz val="11"/>
        <rFont val="ＭＳ Ｐゴシック"/>
        <family val="3"/>
        <charset val="128"/>
      </rPr>
      <t/>
    </r>
    <rPh sb="0" eb="2">
      <t>モトウケ</t>
    </rPh>
    <phoneticPr fontId="5"/>
  </si>
  <si>
    <t>発注者側で積算計上がない場合は、元請ファイルに費用は計上できません。積算計上がある場合のみ元請ファイルに費用計上できます。</t>
    <rPh sb="0" eb="3">
      <t>ハッチュウシャ</t>
    </rPh>
    <rPh sb="3" eb="4">
      <t>ガワ</t>
    </rPh>
    <rPh sb="5" eb="7">
      <t>セキサン</t>
    </rPh>
    <rPh sb="7" eb="9">
      <t>ケイジョウ</t>
    </rPh>
    <rPh sb="12" eb="14">
      <t>バアイ</t>
    </rPh>
    <rPh sb="16" eb="18">
      <t>モトウケ</t>
    </rPh>
    <rPh sb="23" eb="25">
      <t>ヒヨウ</t>
    </rPh>
    <rPh sb="26" eb="28">
      <t>ケイジョウ</t>
    </rPh>
    <rPh sb="45" eb="47">
      <t>モトウケ</t>
    </rPh>
    <rPh sb="54" eb="56">
      <t>ケイジョウ</t>
    </rPh>
    <phoneticPr fontId="5"/>
  </si>
  <si>
    <r>
      <t>受発注で別途調査等工事価格の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ベット</t>
    </rPh>
    <rPh sb="6" eb="9">
      <t>チョウサナド</t>
    </rPh>
    <rPh sb="9" eb="11">
      <t>コウジ</t>
    </rPh>
    <rPh sb="11" eb="13">
      <t>カカク</t>
    </rPh>
    <rPh sb="14" eb="16">
      <t>キンガク</t>
    </rPh>
    <rPh sb="16" eb="17">
      <t>サ</t>
    </rPh>
    <rPh sb="18" eb="19">
      <t>オオ</t>
    </rPh>
    <rPh sb="23" eb="25">
      <t>モトウケ</t>
    </rPh>
    <rPh sb="29" eb="31">
      <t>ジッセキ</t>
    </rPh>
    <rPh sb="31" eb="32">
      <t>ガク</t>
    </rPh>
    <rPh sb="33" eb="35">
      <t>カダイ</t>
    </rPh>
    <phoneticPr fontId="5"/>
  </si>
  <si>
    <t>要確認22</t>
    <phoneticPr fontId="5"/>
  </si>
  <si>
    <t>要確認23</t>
    <phoneticPr fontId="5"/>
  </si>
  <si>
    <t>要確認24</t>
    <phoneticPr fontId="5"/>
  </si>
  <si>
    <t>要確認25</t>
    <phoneticPr fontId="5"/>
  </si>
  <si>
    <t>要確認26</t>
    <phoneticPr fontId="5"/>
  </si>
  <si>
    <t>要確認27</t>
    <phoneticPr fontId="5"/>
  </si>
  <si>
    <t>要確認28</t>
    <phoneticPr fontId="5"/>
  </si>
  <si>
    <t>要確認29</t>
    <phoneticPr fontId="5"/>
  </si>
  <si>
    <t>要確認30</t>
    <phoneticPr fontId="5"/>
  </si>
  <si>
    <t>要確認31</t>
    <phoneticPr fontId="5"/>
  </si>
  <si>
    <t>要確認32</t>
    <phoneticPr fontId="5"/>
  </si>
  <si>
    <t>要確認33</t>
    <phoneticPr fontId="5"/>
  </si>
  <si>
    <t>要確認34</t>
    <phoneticPr fontId="5"/>
  </si>
  <si>
    <t>要確認35</t>
    <phoneticPr fontId="5"/>
  </si>
  <si>
    <t>要確認36</t>
    <phoneticPr fontId="5"/>
  </si>
  <si>
    <t>要確認37</t>
    <phoneticPr fontId="5"/>
  </si>
  <si>
    <t>要確認38</t>
    <phoneticPr fontId="5"/>
  </si>
  <si>
    <t>要確認39</t>
    <phoneticPr fontId="5"/>
  </si>
  <si>
    <t>要確認40</t>
    <phoneticPr fontId="5"/>
  </si>
  <si>
    <t>要確認41</t>
    <phoneticPr fontId="5"/>
  </si>
  <si>
    <t>要確認42</t>
    <phoneticPr fontId="5"/>
  </si>
  <si>
    <t>要確認43</t>
    <phoneticPr fontId="5"/>
  </si>
  <si>
    <t>要確認44</t>
    <phoneticPr fontId="5"/>
  </si>
  <si>
    <t>要確認45</t>
    <phoneticPr fontId="5"/>
  </si>
  <si>
    <t>要確認46</t>
    <phoneticPr fontId="5"/>
  </si>
  <si>
    <t>要確認47</t>
    <phoneticPr fontId="5"/>
  </si>
  <si>
    <t>要確認48</t>
    <phoneticPr fontId="5"/>
  </si>
  <si>
    <t>要確認49</t>
    <phoneticPr fontId="5"/>
  </si>
  <si>
    <t>要確認50</t>
    <phoneticPr fontId="5"/>
  </si>
  <si>
    <t>要確認51</t>
    <phoneticPr fontId="5"/>
  </si>
  <si>
    <t>要確認52</t>
    <phoneticPr fontId="5"/>
  </si>
  <si>
    <t>要確認53</t>
    <phoneticPr fontId="5"/>
  </si>
  <si>
    <t>要確認54</t>
    <phoneticPr fontId="5"/>
  </si>
  <si>
    <t>要確認55</t>
    <phoneticPr fontId="5"/>
  </si>
  <si>
    <t>要確認56</t>
    <phoneticPr fontId="5"/>
  </si>
  <si>
    <t>要確認57</t>
    <phoneticPr fontId="5"/>
  </si>
  <si>
    <t>要確認58</t>
    <phoneticPr fontId="5"/>
  </si>
  <si>
    <t>要確認59</t>
    <phoneticPr fontId="5"/>
  </si>
  <si>
    <t>要確認60</t>
    <phoneticPr fontId="5"/>
  </si>
  <si>
    <t>要確認61</t>
    <phoneticPr fontId="5"/>
  </si>
  <si>
    <t>要確認62</t>
    <phoneticPr fontId="5"/>
  </si>
  <si>
    <t>要確認63</t>
    <phoneticPr fontId="5"/>
  </si>
  <si>
    <t>要確認64</t>
    <phoneticPr fontId="5"/>
  </si>
  <si>
    <t>要確認65</t>
    <phoneticPr fontId="5"/>
  </si>
  <si>
    <t>要確認66</t>
    <phoneticPr fontId="5"/>
  </si>
  <si>
    <t>要確認67</t>
    <phoneticPr fontId="5"/>
  </si>
  <si>
    <t>要確認68</t>
    <phoneticPr fontId="5"/>
  </si>
  <si>
    <t>要確認69</t>
    <phoneticPr fontId="5"/>
  </si>
  <si>
    <t>要確認70</t>
    <phoneticPr fontId="5"/>
  </si>
  <si>
    <t>作業時間に時間的制約があった。（積算上、補正割増しを行った。）</t>
    <rPh sb="0" eb="2">
      <t>サギョウ</t>
    </rPh>
    <rPh sb="2" eb="4">
      <t>ジカン</t>
    </rPh>
    <rPh sb="5" eb="8">
      <t>ジカンテキ</t>
    </rPh>
    <rPh sb="8" eb="10">
      <t>セイヤク</t>
    </rPh>
    <rPh sb="16" eb="18">
      <t>セキサン</t>
    </rPh>
    <rPh sb="18" eb="19">
      <t>ジョウ</t>
    </rPh>
    <rPh sb="20" eb="22">
      <t>ホセイ</t>
    </rPh>
    <rPh sb="22" eb="23">
      <t>ワ</t>
    </rPh>
    <rPh sb="23" eb="24">
      <t>マ</t>
    </rPh>
    <rPh sb="26" eb="27">
      <t>オコナ</t>
    </rPh>
    <phoneticPr fontId="5"/>
  </si>
  <si>
    <t>YESの場合：作業制約時間</t>
    <rPh sb="7" eb="9">
      <t>サギョウ</t>
    </rPh>
    <rPh sb="9" eb="11">
      <t>セイヤク</t>
    </rPh>
    <rPh sb="11" eb="13">
      <t>ジカン</t>
    </rPh>
    <phoneticPr fontId="6"/>
  </si>
  <si>
    <t>その他の場合入力</t>
    <rPh sb="2" eb="3">
      <t>タ</t>
    </rPh>
    <rPh sb="4" eb="6">
      <t>バアイ</t>
    </rPh>
    <rPh sb="6" eb="8">
      <t>ニュウリョク</t>
    </rPh>
    <phoneticPr fontId="6"/>
  </si>
  <si>
    <t>　① 同じ対象工事の入力済み『元請CD』を入れてください。</t>
    <rPh sb="10" eb="12">
      <t>ニュウリョク</t>
    </rPh>
    <rPh sb="12" eb="13">
      <t>ズ</t>
    </rPh>
    <rPh sb="21" eb="22">
      <t>イ</t>
    </rPh>
    <phoneticPr fontId="5"/>
  </si>
  <si>
    <t>技術管理費</t>
    <rPh sb="0" eb="2">
      <t>ギジュツ</t>
    </rPh>
    <rPh sb="2" eb="5">
      <t>カンリヒ</t>
    </rPh>
    <phoneticPr fontId="4"/>
  </si>
  <si>
    <t>○</t>
    <phoneticPr fontId="4"/>
  </si>
  <si>
    <t>合計</t>
    <rPh sb="0" eb="2">
      <t>ゴウケイ</t>
    </rPh>
    <phoneticPr fontId="5"/>
  </si>
  <si>
    <t>消費税</t>
    <rPh sb="0" eb="3">
      <t>ショウヒゼイ</t>
    </rPh>
    <phoneticPr fontId="5"/>
  </si>
  <si>
    <t>E</t>
    <phoneticPr fontId="5"/>
  </si>
  <si>
    <t>一般管理費等の前払い金支出割合</t>
    <phoneticPr fontId="5"/>
  </si>
  <si>
    <t>(1)共通仮設費
20141217:追加</t>
    <rPh sb="3" eb="5">
      <t>キョウツウ</t>
    </rPh>
    <rPh sb="5" eb="7">
      <t>カセツ</t>
    </rPh>
    <rPh sb="7" eb="8">
      <t>ヒ</t>
    </rPh>
    <rPh sb="18" eb="20">
      <t>ツイカ</t>
    </rPh>
    <phoneticPr fontId="4"/>
  </si>
  <si>
    <t>昼夜間施工</t>
    <phoneticPr fontId="5"/>
  </si>
  <si>
    <t>一般管理費等</t>
  </si>
  <si>
    <t>品目確認</t>
    <rPh sb="0" eb="2">
      <t>ヒンモク</t>
    </rPh>
    <rPh sb="2" eb="4">
      <t>カクニン</t>
    </rPh>
    <phoneticPr fontId="5"/>
  </si>
  <si>
    <t>未入力確認（K～P列）
○/×</t>
    <rPh sb="0" eb="3">
      <t>ミニュウリョク</t>
    </rPh>
    <rPh sb="3" eb="5">
      <t>カクニン</t>
    </rPh>
    <rPh sb="9" eb="10">
      <t>レツ</t>
    </rPh>
    <phoneticPr fontId="5"/>
  </si>
  <si>
    <t>×</t>
    <phoneticPr fontId="5"/>
  </si>
  <si>
    <t>設定休日数+</t>
    <rPh sb="0" eb="2">
      <t>セッテイ</t>
    </rPh>
    <rPh sb="2" eb="4">
      <t>キュウジツ</t>
    </rPh>
    <rPh sb="4" eb="5">
      <t>スウ</t>
    </rPh>
    <phoneticPr fontId="4"/>
  </si>
  <si>
    <t>設定休日数-</t>
    <rPh sb="0" eb="2">
      <t>セッテイ</t>
    </rPh>
    <rPh sb="2" eb="4">
      <t>キュウジツ</t>
    </rPh>
    <rPh sb="4" eb="5">
      <t>スウ</t>
    </rPh>
    <phoneticPr fontId="4"/>
  </si>
  <si>
    <t>○</t>
    <phoneticPr fontId="4"/>
  </si>
  <si>
    <t>２)</t>
    <phoneticPr fontId="5"/>
  </si>
  <si>
    <r>
      <t xml:space="preserve">機器管理費
</t>
    </r>
    <r>
      <rPr>
        <sz val="10"/>
        <rFont val="ＭＳ Ｐゴシック"/>
        <family val="3"/>
        <charset val="128"/>
      </rPr>
      <t>（電気通信設備工事の場合）</t>
    </r>
    <rPh sb="0" eb="2">
      <t>キキ</t>
    </rPh>
    <rPh sb="2" eb="5">
      <t>カンリヒ</t>
    </rPh>
    <phoneticPr fontId="5"/>
  </si>
  <si>
    <t>○</t>
    <phoneticPr fontId="4"/>
  </si>
  <si>
    <t>理由回答欄</t>
    <phoneticPr fontId="5"/>
  </si>
  <si>
    <r>
      <t>C</t>
    </r>
    <r>
      <rPr>
        <sz val="11"/>
        <rFont val="ＭＳ Ｐゴシック"/>
        <family val="3"/>
        <charset val="128"/>
      </rPr>
      <t>ountBlank</t>
    </r>
    <phoneticPr fontId="5"/>
  </si>
  <si>
    <t>未入力可
項目数</t>
    <rPh sb="0" eb="3">
      <t>ミニュウリョク</t>
    </rPh>
    <rPh sb="3" eb="4">
      <t>カ</t>
    </rPh>
    <rPh sb="5" eb="8">
      <t>コウモクスウ</t>
    </rPh>
    <phoneticPr fontId="5"/>
  </si>
  <si>
    <t>50%判定値</t>
    <rPh sb="3" eb="5">
      <t>ハンテイ</t>
    </rPh>
    <rPh sb="5" eb="6">
      <t>アタイ</t>
    </rPh>
    <phoneticPr fontId="5"/>
  </si>
  <si>
    <t>3：国土交通省(航空)</t>
    <phoneticPr fontId="5"/>
  </si>
  <si>
    <t>低入札工事の有無</t>
  </si>
  <si>
    <t>低入札工事の有無</t>
    <phoneticPr fontId="5"/>
  </si>
  <si>
    <t>低入札工事</t>
    <rPh sb="0" eb="1">
      <t>テイ</t>
    </rPh>
    <rPh sb="1" eb="3">
      <t>ニュウサツ</t>
    </rPh>
    <rPh sb="3" eb="5">
      <t>コウジ</t>
    </rPh>
    <phoneticPr fontId="5"/>
  </si>
  <si>
    <t>低入札工事以外</t>
    <rPh sb="0" eb="2">
      <t>テイニュウ</t>
    </rPh>
    <rPh sb="2" eb="3">
      <t>サツ</t>
    </rPh>
    <rPh sb="3" eb="5">
      <t>コウジ</t>
    </rPh>
    <rPh sb="5" eb="7">
      <t>イガイ</t>
    </rPh>
    <phoneticPr fontId="5"/>
  </si>
  <si>
    <t>341：空港維持工事(除雪なし)</t>
    <rPh sb="11" eb="13">
      <t>ジョセツ</t>
    </rPh>
    <phoneticPr fontId="4"/>
  </si>
  <si>
    <t>321：空港用地造成工事</t>
  </si>
  <si>
    <t>322：空港用地造成工事</t>
  </si>
  <si>
    <t>351：空港維持工事(除雪あり)</t>
  </si>
  <si>
    <t>5：空港制限区域内工事 翌朝、航空機の運行のために施設を解放する場所</t>
    <rPh sb="2" eb="4">
      <t>クウコウ</t>
    </rPh>
    <rPh sb="4" eb="6">
      <t>セイゲン</t>
    </rPh>
    <rPh sb="6" eb="9">
      <t>クイキナイ</t>
    </rPh>
    <rPh sb="9" eb="11">
      <t>コウジ</t>
    </rPh>
    <rPh sb="12" eb="14">
      <t>ヨクチョウ</t>
    </rPh>
    <rPh sb="15" eb="18">
      <t>コウクウキ</t>
    </rPh>
    <rPh sb="19" eb="21">
      <t>ウンコウ</t>
    </rPh>
    <rPh sb="25" eb="27">
      <t>シセツ</t>
    </rPh>
    <rPh sb="28" eb="30">
      <t>カイホウ</t>
    </rPh>
    <rPh sb="32" eb="34">
      <t>バショ</t>
    </rPh>
    <phoneticPr fontId="4"/>
  </si>
  <si>
    <t>6：空港制限区域内工事 上記以外の工事場所</t>
    <rPh sb="12" eb="14">
      <t>ジョウキ</t>
    </rPh>
    <rPh sb="14" eb="16">
      <t>イガイ</t>
    </rPh>
    <rPh sb="17" eb="19">
      <t>コウジ</t>
    </rPh>
    <rPh sb="19" eb="21">
      <t>バショ</t>
    </rPh>
    <phoneticPr fontId="4"/>
  </si>
  <si>
    <t>Ⅱ</t>
    <phoneticPr fontId="4"/>
  </si>
  <si>
    <t>共通仮設費の対象額に含めない費用内訳</t>
    <rPh sb="0" eb="2">
      <t>キョウツウ</t>
    </rPh>
    <rPh sb="2" eb="4">
      <t>カセツ</t>
    </rPh>
    <rPh sb="4" eb="5">
      <t>ヒ</t>
    </rPh>
    <rPh sb="6" eb="8">
      <t>タイショウ</t>
    </rPh>
    <rPh sb="8" eb="9">
      <t>ガク</t>
    </rPh>
    <rPh sb="10" eb="11">
      <t>フク</t>
    </rPh>
    <rPh sb="15" eb="16">
      <t>ヨウ</t>
    </rPh>
    <phoneticPr fontId="5"/>
  </si>
  <si>
    <t xml:space="preserve">共通仮設費の対象に含めない費用がある場合は、金額及び管理費区分を必ず入力してください。 </t>
    <rPh sb="0" eb="2">
      <t>キョウツウ</t>
    </rPh>
    <rPh sb="2" eb="4">
      <t>カセツ</t>
    </rPh>
    <rPh sb="4" eb="5">
      <t>ヒ</t>
    </rPh>
    <rPh sb="6" eb="8">
      <t>タイショウ</t>
    </rPh>
    <rPh sb="9" eb="10">
      <t>フク</t>
    </rPh>
    <rPh sb="13" eb="15">
      <t>ヒヨウ</t>
    </rPh>
    <rPh sb="18" eb="20">
      <t>バアイ</t>
    </rPh>
    <rPh sb="22" eb="24">
      <t>キンガク</t>
    </rPh>
    <rPh sb="24" eb="25">
      <t>オヨ</t>
    </rPh>
    <rPh sb="26" eb="29">
      <t>カンリヒ</t>
    </rPh>
    <rPh sb="29" eb="31">
      <t>クブン</t>
    </rPh>
    <rPh sb="32" eb="33">
      <t>カナラ</t>
    </rPh>
    <rPh sb="34" eb="36">
      <t>ニュウリョク</t>
    </rPh>
    <phoneticPr fontId="5"/>
  </si>
  <si>
    <t xml:space="preserve">共通仮設費の対象に含めない費用がある場合は、金額を必ず入力してください。 </t>
    <rPh sb="0" eb="2">
      <t>キョウツウ</t>
    </rPh>
    <rPh sb="2" eb="4">
      <t>カセツ</t>
    </rPh>
    <rPh sb="4" eb="5">
      <t>ヒ</t>
    </rPh>
    <rPh sb="6" eb="8">
      <t>タイショウ</t>
    </rPh>
    <rPh sb="9" eb="10">
      <t>フク</t>
    </rPh>
    <rPh sb="13" eb="15">
      <t>ヒヨウ</t>
    </rPh>
    <rPh sb="18" eb="20">
      <t>バアイ</t>
    </rPh>
    <rPh sb="22" eb="24">
      <t>キンガク</t>
    </rPh>
    <rPh sb="25" eb="26">
      <t>カナラ</t>
    </rPh>
    <rPh sb="27" eb="29">
      <t>ニュウリョク</t>
    </rPh>
    <phoneticPr fontId="5"/>
  </si>
  <si>
    <t>　管理費
区分</t>
    <phoneticPr fontId="4"/>
  </si>
  <si>
    <t>概　　要</t>
    <rPh sb="0" eb="1">
      <t>オオムネ</t>
    </rPh>
    <rPh sb="3" eb="4">
      <t>ヨウ</t>
    </rPh>
    <phoneticPr fontId="4"/>
  </si>
  <si>
    <t>現場管理費、一般管理費のみ対象とする場合</t>
    <rPh sb="18" eb="20">
      <t>バアイ</t>
    </rPh>
    <phoneticPr fontId="4"/>
  </si>
  <si>
    <t>工場管理費・一般管理費のみ対象とし、間接労務費の対象にしない場合（鋼桁、門扉等の工場製作に関わる製作工数単位以外の費用</t>
    <rPh sb="0" eb="2">
      <t>コウジョウ</t>
    </rPh>
    <rPh sb="2" eb="5">
      <t>カンリヒ</t>
    </rPh>
    <rPh sb="6" eb="8">
      <t>イッパン</t>
    </rPh>
    <rPh sb="8" eb="11">
      <t>カンリヒ</t>
    </rPh>
    <rPh sb="13" eb="15">
      <t>タイショウ</t>
    </rPh>
    <rPh sb="18" eb="20">
      <t>カンセツ</t>
    </rPh>
    <rPh sb="20" eb="23">
      <t>ロウムヒ</t>
    </rPh>
    <rPh sb="24" eb="26">
      <t>タイショウ</t>
    </rPh>
    <rPh sb="30" eb="32">
      <t>バアイ</t>
    </rPh>
    <rPh sb="33" eb="34">
      <t>コウ</t>
    </rPh>
    <rPh sb="34" eb="35">
      <t>ケタ</t>
    </rPh>
    <rPh sb="36" eb="38">
      <t>モンピ</t>
    </rPh>
    <rPh sb="38" eb="39">
      <t>トウ</t>
    </rPh>
    <rPh sb="40" eb="42">
      <t>コウジョウ</t>
    </rPh>
    <rPh sb="42" eb="44">
      <t>セイサク</t>
    </rPh>
    <rPh sb="45" eb="46">
      <t>カカ</t>
    </rPh>
    <rPh sb="48" eb="50">
      <t>セイサク</t>
    </rPh>
    <rPh sb="50" eb="52">
      <t>コウスウ</t>
    </rPh>
    <rPh sb="52" eb="54">
      <t>タンイ</t>
    </rPh>
    <rPh sb="54" eb="56">
      <t>イガイ</t>
    </rPh>
    <rPh sb="57" eb="59">
      <t>ヒヨウ</t>
    </rPh>
    <phoneticPr fontId="4"/>
  </si>
  <si>
    <t>一般管理費のみ対象にする場合</t>
    <rPh sb="12" eb="14">
      <t>バアイ</t>
    </rPh>
    <phoneticPr fontId="4"/>
  </si>
  <si>
    <t>間接労務費、工場管理費、一般管理費のみ対象にする場合（製作工数に関わるもの）</t>
    <rPh sb="0" eb="2">
      <t>カンセツ</t>
    </rPh>
    <rPh sb="2" eb="5">
      <t>ロウムヒ</t>
    </rPh>
    <rPh sb="6" eb="8">
      <t>コウジョウ</t>
    </rPh>
    <rPh sb="8" eb="11">
      <t>カンリヒ</t>
    </rPh>
    <rPh sb="12" eb="14">
      <t>イッパン</t>
    </rPh>
    <rPh sb="14" eb="17">
      <t>カンリヒ</t>
    </rPh>
    <rPh sb="19" eb="21">
      <t>タイショウ</t>
    </rPh>
    <rPh sb="24" eb="26">
      <t>バアイ</t>
    </rPh>
    <rPh sb="27" eb="29">
      <t>セイサク</t>
    </rPh>
    <rPh sb="29" eb="31">
      <t>コウスウ</t>
    </rPh>
    <rPh sb="32" eb="33">
      <t>カカ</t>
    </rPh>
    <phoneticPr fontId="4"/>
  </si>
  <si>
    <t>技術者間接費対象労務費</t>
    <rPh sb="0" eb="3">
      <t>ギジュツシャ</t>
    </rPh>
    <rPh sb="3" eb="6">
      <t>カンセツヒ</t>
    </rPh>
    <rPh sb="6" eb="8">
      <t>タイショウ</t>
    </rPh>
    <rPh sb="8" eb="11">
      <t>ロウムヒ</t>
    </rPh>
    <phoneticPr fontId="4"/>
  </si>
  <si>
    <t>全ての間接費の対象にしない場合</t>
    <rPh sb="0" eb="1">
      <t>スベ</t>
    </rPh>
    <rPh sb="3" eb="6">
      <t>カンセツヒ</t>
    </rPh>
    <rPh sb="7" eb="9">
      <t>タイショウ</t>
    </rPh>
    <rPh sb="13" eb="15">
      <t>バアイ</t>
    </rPh>
    <phoneticPr fontId="4"/>
  </si>
  <si>
    <t>Ｔ</t>
    <phoneticPr fontId="4"/>
  </si>
  <si>
    <t>処分費等に対象にする場合</t>
    <rPh sb="0" eb="3">
      <t>ショブンヒ</t>
    </rPh>
    <rPh sb="3" eb="4">
      <t>トウ</t>
    </rPh>
    <rPh sb="5" eb="7">
      <t>タイショウ</t>
    </rPh>
    <rPh sb="10" eb="12">
      <t>バアイ</t>
    </rPh>
    <phoneticPr fontId="4"/>
  </si>
  <si>
    <t>共通仮設費の対象に含めない品目</t>
    <rPh sb="0" eb="2">
      <t>キョウツウ</t>
    </rPh>
    <rPh sb="2" eb="4">
      <t>カセツ</t>
    </rPh>
    <rPh sb="4" eb="5">
      <t>ヒ</t>
    </rPh>
    <rPh sb="6" eb="8">
      <t>タイショウ</t>
    </rPh>
    <rPh sb="9" eb="10">
      <t>フク</t>
    </rPh>
    <rPh sb="13" eb="14">
      <t>シナ</t>
    </rPh>
    <rPh sb="14" eb="15">
      <t>ヒモク</t>
    </rPh>
    <phoneticPr fontId="5"/>
  </si>
  <si>
    <t>金　額（千円）</t>
    <rPh sb="4" eb="6">
      <t>センエン</t>
    </rPh>
    <phoneticPr fontId="5"/>
  </si>
  <si>
    <t>簡易組立式橋梁の購入費</t>
    <rPh sb="0" eb="2">
      <t>カンイ</t>
    </rPh>
    <rPh sb="2" eb="4">
      <t>クミタ</t>
    </rPh>
    <rPh sb="4" eb="5">
      <t>シキ</t>
    </rPh>
    <rPh sb="5" eb="7">
      <t>キョウリョウ</t>
    </rPh>
    <rPh sb="8" eb="10">
      <t>コウニュウ</t>
    </rPh>
    <phoneticPr fontId="5"/>
  </si>
  <si>
    <t>ＰＣ桁の購入費</t>
    <rPh sb="2" eb="3">
      <t>ケタ</t>
    </rPh>
    <rPh sb="4" eb="6">
      <t>コウニュウ</t>
    </rPh>
    <phoneticPr fontId="5"/>
  </si>
  <si>
    <t>門扉（樋門、サイフォン工）の購入費</t>
    <rPh sb="0" eb="1">
      <t>モン</t>
    </rPh>
    <rPh sb="1" eb="2">
      <t>トビラ</t>
    </rPh>
    <rPh sb="3" eb="5">
      <t>ヒモン</t>
    </rPh>
    <rPh sb="11" eb="12">
      <t>コウ</t>
    </rPh>
    <rPh sb="14" eb="16">
      <t>コウニュウ</t>
    </rPh>
    <phoneticPr fontId="5"/>
  </si>
  <si>
    <t>ポンプの購入費</t>
    <rPh sb="4" eb="6">
      <t>コウニュウ</t>
    </rPh>
    <phoneticPr fontId="5"/>
  </si>
  <si>
    <t>グレーチング床版の購入費</t>
    <rPh sb="6" eb="7">
      <t>ユカ</t>
    </rPh>
    <rPh sb="7" eb="8">
      <t>バン</t>
    </rPh>
    <rPh sb="9" eb="11">
      <t>コウニュウ</t>
    </rPh>
    <phoneticPr fontId="5"/>
  </si>
  <si>
    <t>大型遊具（設計製作品）の購入費</t>
    <rPh sb="0" eb="2">
      <t>オオガタ</t>
    </rPh>
    <rPh sb="2" eb="4">
      <t>ユウグ</t>
    </rPh>
    <rPh sb="5" eb="7">
      <t>セッケイ</t>
    </rPh>
    <rPh sb="7" eb="8">
      <t>セイ</t>
    </rPh>
    <rPh sb="8" eb="10">
      <t>サクヒン</t>
    </rPh>
    <rPh sb="12" eb="14">
      <t>コウニュウ</t>
    </rPh>
    <phoneticPr fontId="5"/>
  </si>
  <si>
    <t>大型標識柱
　（ｵｰﾊﾞｰﾍｯﾄﾞ柱、ｵｰﾊﾞｰﾊﾝｸﾞ柱）の製作費を含む材料費）</t>
    <rPh sb="0" eb="2">
      <t>オオガタ</t>
    </rPh>
    <rPh sb="2" eb="4">
      <t>ヒョウシキ</t>
    </rPh>
    <rPh sb="4" eb="5">
      <t>チュウ</t>
    </rPh>
    <rPh sb="17" eb="18">
      <t>チュウ</t>
    </rPh>
    <rPh sb="28" eb="29">
      <t>チュウ</t>
    </rPh>
    <rPh sb="31" eb="33">
      <t>セイサク</t>
    </rPh>
    <rPh sb="33" eb="34">
      <t>セイサクヒ</t>
    </rPh>
    <rPh sb="35" eb="36">
      <t>フク</t>
    </rPh>
    <rPh sb="37" eb="40">
      <t>ザイリョウヒ</t>
    </rPh>
    <phoneticPr fontId="5"/>
  </si>
  <si>
    <t>処分費等（3％または3000万円を超える額）</t>
    <phoneticPr fontId="4"/>
  </si>
  <si>
    <t>その他の場合の具体的な内容を入力</t>
    <rPh sb="0" eb="3">
      <t>ソノタ</t>
    </rPh>
    <rPh sb="4" eb="6">
      <t>バアイ</t>
    </rPh>
    <rPh sb="14" eb="16">
      <t>ニュウリョク</t>
    </rPh>
    <phoneticPr fontId="4"/>
  </si>
  <si>
    <t>合　　計</t>
    <rPh sb="0" eb="4">
      <t>ゴウケイ</t>
    </rPh>
    <phoneticPr fontId="5"/>
  </si>
  <si>
    <t>Ⅲ</t>
    <phoneticPr fontId="4"/>
  </si>
  <si>
    <t>（入力対象品目）以下に該当する品目について入力</t>
  </si>
  <si>
    <t>大型ゴム支承</t>
  </si>
  <si>
    <t>遮音壁</t>
  </si>
  <si>
    <t>共同溝工事において使用している、またはそれに類する大型のプレキャスト・ボックスカルバート</t>
    <phoneticPr fontId="5"/>
  </si>
  <si>
    <t>モニュメント</t>
  </si>
  <si>
    <t>デザイン高欄</t>
  </si>
  <si>
    <t>デザイン照明ポール</t>
  </si>
  <si>
    <t>⑦</t>
    <phoneticPr fontId="5"/>
  </si>
  <si>
    <t>鋼管杭、鋼管矢板</t>
    <phoneticPr fontId="5"/>
  </si>
  <si>
    <t>⑧</t>
    <phoneticPr fontId="5"/>
  </si>
  <si>
    <t>防舷材</t>
    <phoneticPr fontId="5"/>
  </si>
  <si>
    <t>⑨</t>
    <phoneticPr fontId="5"/>
  </si>
  <si>
    <t>その他（上記リスト以外は、品目欄の右に入力してください。）</t>
    <rPh sb="2" eb="3">
      <t>タ</t>
    </rPh>
    <rPh sb="4" eb="6">
      <t>ジョウキ</t>
    </rPh>
    <rPh sb="9" eb="11">
      <t>イガイ</t>
    </rPh>
    <rPh sb="13" eb="15">
      <t>ヒンモク</t>
    </rPh>
    <rPh sb="15" eb="16">
      <t>ラン</t>
    </rPh>
    <rPh sb="17" eb="18">
      <t>ミギ</t>
    </rPh>
    <rPh sb="19" eb="21">
      <t>ニュウリョク</t>
    </rPh>
    <phoneticPr fontId="5"/>
  </si>
  <si>
    <t>⑥</t>
    <phoneticPr fontId="5"/>
  </si>
  <si>
    <t>①直接工事費判定</t>
    <rPh sb="1" eb="3">
      <t>チョクセツ</t>
    </rPh>
    <rPh sb="3" eb="6">
      <t>コウジヒ</t>
    </rPh>
    <rPh sb="6" eb="8">
      <t>ハンテイ</t>
    </rPh>
    <phoneticPr fontId="4"/>
  </si>
  <si>
    <t>①直接工事費</t>
    <rPh sb="1" eb="3">
      <t>チョクセツ</t>
    </rPh>
    <rPh sb="3" eb="6">
      <t>コウジヒ</t>
    </rPh>
    <phoneticPr fontId="4"/>
  </si>
  <si>
    <t>○</t>
    <phoneticPr fontId="4"/>
  </si>
  <si>
    <t>休日数計＋</t>
    <rPh sb="0" eb="3">
      <t>キュウジツスウ</t>
    </rPh>
    <rPh sb="3" eb="4">
      <t>ケイ</t>
    </rPh>
    <phoneticPr fontId="4"/>
  </si>
  <si>
    <t>休日数－</t>
    <rPh sb="0" eb="3">
      <t>キュウジツスウ</t>
    </rPh>
    <phoneticPr fontId="4"/>
  </si>
  <si>
    <t>緑色塗りつぶし部分：黄色セルの入力に伴う自動計算（入力不可）</t>
    <phoneticPr fontId="5"/>
  </si>
  <si>
    <t>-</t>
    <phoneticPr fontId="5"/>
  </si>
  <si>
    <t>⑥粉塵作業の予防</t>
    <phoneticPr fontId="5"/>
  </si>
  <si>
    <t>本シートは、入力内容を確認するシートです。
入力修正が必要な場合は、各入力シートで修正してください。</t>
    <phoneticPr fontId="5"/>
  </si>
  <si>
    <t>１．共通仮設費積算対象金額と共通仮設費率分の確認</t>
    <rPh sb="2" eb="4">
      <t>キョウツウ</t>
    </rPh>
    <rPh sb="4" eb="6">
      <t>カセツ</t>
    </rPh>
    <rPh sb="6" eb="7">
      <t>ヒ</t>
    </rPh>
    <rPh sb="7" eb="9">
      <t>セキサン</t>
    </rPh>
    <rPh sb="9" eb="11">
      <t>タイショウ</t>
    </rPh>
    <rPh sb="11" eb="13">
      <t>キンガク</t>
    </rPh>
    <rPh sb="14" eb="16">
      <t>キョウツウ</t>
    </rPh>
    <rPh sb="16" eb="18">
      <t>カセツ</t>
    </rPh>
    <rPh sb="18" eb="19">
      <t>ヒ</t>
    </rPh>
    <rPh sb="19" eb="20">
      <t>リツ</t>
    </rPh>
    <rPh sb="20" eb="21">
      <t>ブン</t>
    </rPh>
    <rPh sb="22" eb="24">
      <t>カクニン</t>
    </rPh>
    <phoneticPr fontId="5"/>
  </si>
  <si>
    <t>　　・入力金額と自動計算値が一致しているか確認してください。</t>
    <rPh sb="3" eb="5">
      <t>ニュウリョク</t>
    </rPh>
    <rPh sb="5" eb="7">
      <t>キンガク</t>
    </rPh>
    <rPh sb="8" eb="10">
      <t>ジドウ</t>
    </rPh>
    <rPh sb="10" eb="13">
      <t>ケイサンチ</t>
    </rPh>
    <rPh sb="14" eb="16">
      <t>イッチ</t>
    </rPh>
    <rPh sb="21" eb="23">
      <t>カクニン</t>
    </rPh>
    <phoneticPr fontId="5"/>
  </si>
  <si>
    <t>　　・チェック結果欄に「エラー」が表示される場合は、「エラーの確認内容」欄及び、自動計算結果（自動計算値）を参考に入力金額を</t>
    <rPh sb="7" eb="9">
      <t>ケッカ</t>
    </rPh>
    <rPh sb="9" eb="10">
      <t>ラン</t>
    </rPh>
    <rPh sb="17" eb="19">
      <t>ヒョウジ</t>
    </rPh>
    <rPh sb="22" eb="24">
      <t>バアイ</t>
    </rPh>
    <rPh sb="31" eb="33">
      <t>カクニン</t>
    </rPh>
    <rPh sb="33" eb="35">
      <t>ナイヨウ</t>
    </rPh>
    <rPh sb="36" eb="37">
      <t>ラン</t>
    </rPh>
    <rPh sb="37" eb="38">
      <t>オヨ</t>
    </rPh>
    <rPh sb="40" eb="42">
      <t>ジドウ</t>
    </rPh>
    <rPh sb="42" eb="44">
      <t>ケイサン</t>
    </rPh>
    <rPh sb="44" eb="46">
      <t>ケッカ</t>
    </rPh>
    <rPh sb="47" eb="49">
      <t>ジドウ</t>
    </rPh>
    <rPh sb="49" eb="52">
      <t>ケイサンチ</t>
    </rPh>
    <rPh sb="54" eb="56">
      <t>サンコウ</t>
    </rPh>
    <rPh sb="57" eb="59">
      <t>ニュウリョク</t>
    </rPh>
    <rPh sb="59" eb="61">
      <t>キンガク</t>
    </rPh>
    <phoneticPr fontId="5"/>
  </si>
  <si>
    <t>　　　確認してください。</t>
    <phoneticPr fontId="5"/>
  </si>
  <si>
    <t>　　・入力金額確認後、自動計算値と一致しない場合は、理由回答欄に理由を入力してください。</t>
    <rPh sb="3" eb="5">
      <t>ニュウリョク</t>
    </rPh>
    <rPh sb="5" eb="7">
      <t>キンガク</t>
    </rPh>
    <rPh sb="7" eb="9">
      <t>カクニン</t>
    </rPh>
    <rPh sb="9" eb="10">
      <t>ゴ</t>
    </rPh>
    <rPh sb="28" eb="30">
      <t>カイトウ</t>
    </rPh>
    <rPh sb="30" eb="31">
      <t>ラン</t>
    </rPh>
    <rPh sb="32" eb="34">
      <t>リユウ</t>
    </rPh>
    <phoneticPr fontId="5"/>
  </si>
  <si>
    <t>入力金額
（千円）</t>
    <rPh sb="0" eb="2">
      <t>ニュウリョク</t>
    </rPh>
    <rPh sb="2" eb="4">
      <t>キンガク</t>
    </rPh>
    <rPh sb="6" eb="8">
      <t>センエン</t>
    </rPh>
    <phoneticPr fontId="5"/>
  </si>
  <si>
    <t>自動計算値
（千円）</t>
    <rPh sb="0" eb="2">
      <t>ジドウ</t>
    </rPh>
    <rPh sb="2" eb="5">
      <t>ケイサンチ</t>
    </rPh>
    <rPh sb="7" eb="9">
      <t>センエン</t>
    </rPh>
    <phoneticPr fontId="5"/>
  </si>
  <si>
    <t>ﾁｪｯｸ結果</t>
    <rPh sb="4" eb="6">
      <t>ケッカ</t>
    </rPh>
    <phoneticPr fontId="5"/>
  </si>
  <si>
    <t>エラーの確認内容</t>
    <rPh sb="4" eb="6">
      <t>カクニン</t>
    </rPh>
    <rPh sb="6" eb="8">
      <t>ナイヨウ</t>
    </rPh>
    <phoneticPr fontId="5"/>
  </si>
  <si>
    <t>理由回答欄</t>
    <rPh sb="0" eb="2">
      <t>リユウ</t>
    </rPh>
    <rPh sb="2" eb="4">
      <t>カイトウ</t>
    </rPh>
    <rPh sb="4" eb="5">
      <t>ラン</t>
    </rPh>
    <phoneticPr fontId="5"/>
  </si>
  <si>
    <t>　共通仮設費積算対象金額</t>
    <phoneticPr fontId="5"/>
  </si>
  <si>
    <t>共通仮設費積算対象金額が未入力です。
「工事費」シートで「共通仮設費積算対象金額」を入力してください。</t>
    <rPh sb="0" eb="2">
      <t>キョウツウ</t>
    </rPh>
    <rPh sb="2" eb="5">
      <t>カセツヒ</t>
    </rPh>
    <rPh sb="5" eb="7">
      <t>セキサン</t>
    </rPh>
    <rPh sb="7" eb="9">
      <t>タイショウ</t>
    </rPh>
    <rPh sb="9" eb="11">
      <t>キンガク</t>
    </rPh>
    <rPh sb="12" eb="15">
      <t>ミニュウリョク</t>
    </rPh>
    <rPh sb="20" eb="23">
      <t>コウジヒ</t>
    </rPh>
    <rPh sb="29" eb="31">
      <t>キョウツウ</t>
    </rPh>
    <rPh sb="31" eb="34">
      <t>カセツヒ</t>
    </rPh>
    <rPh sb="34" eb="36">
      <t>セキサン</t>
    </rPh>
    <rPh sb="36" eb="38">
      <t>タイショウ</t>
    </rPh>
    <rPh sb="38" eb="40">
      <t>キンガク</t>
    </rPh>
    <rPh sb="42" eb="44">
      <t>ニュウリョク</t>
    </rPh>
    <phoneticPr fontId="5"/>
  </si>
  <si>
    <t>共通仮設費積算対象金額が「0」です。
「工事費」シートで金額を入力してください。</t>
    <rPh sb="0" eb="2">
      <t>キョウツウ</t>
    </rPh>
    <rPh sb="2" eb="5">
      <t>カセツヒ</t>
    </rPh>
    <rPh sb="5" eb="7">
      <t>セキサン</t>
    </rPh>
    <rPh sb="7" eb="9">
      <t>タイショウ</t>
    </rPh>
    <rPh sb="9" eb="11">
      <t>キンガク</t>
    </rPh>
    <rPh sb="20" eb="23">
      <t>コウジヒ</t>
    </rPh>
    <rPh sb="28" eb="30">
      <t>キンガク</t>
    </rPh>
    <rPh sb="31" eb="33">
      <t>ニュウリョク</t>
    </rPh>
    <phoneticPr fontId="5"/>
  </si>
  <si>
    <t>　共通仮設費の率分</t>
    <rPh sb="7" eb="8">
      <t>リツ</t>
    </rPh>
    <rPh sb="8" eb="9">
      <t>ブン</t>
    </rPh>
    <phoneticPr fontId="5"/>
  </si>
  <si>
    <t>共通仮設費の率分が未入力です。
「工事費」シートで「共通仮設費の率分」を入力してください。</t>
    <rPh sb="0" eb="2">
      <t>キョウツウ</t>
    </rPh>
    <rPh sb="2" eb="5">
      <t>カセツヒ</t>
    </rPh>
    <rPh sb="6" eb="7">
      <t>リツ</t>
    </rPh>
    <rPh sb="7" eb="8">
      <t>ブン</t>
    </rPh>
    <rPh sb="9" eb="12">
      <t>ミニュウリョク</t>
    </rPh>
    <rPh sb="17" eb="20">
      <t>コウジヒ</t>
    </rPh>
    <rPh sb="26" eb="28">
      <t>キョウツウ</t>
    </rPh>
    <rPh sb="28" eb="31">
      <t>カセツヒ</t>
    </rPh>
    <rPh sb="32" eb="33">
      <t>リツ</t>
    </rPh>
    <rPh sb="33" eb="34">
      <t>ブン</t>
    </rPh>
    <rPh sb="36" eb="38">
      <t>ニュウリョク</t>
    </rPh>
    <phoneticPr fontId="5"/>
  </si>
  <si>
    <t>共通仮設費の率分が「0」です。
「工事費」シートで金額を入力してください。</t>
    <rPh sb="0" eb="2">
      <t>キョウツウ</t>
    </rPh>
    <rPh sb="2" eb="5">
      <t>カセツヒ</t>
    </rPh>
    <rPh sb="6" eb="7">
      <t>リツ</t>
    </rPh>
    <rPh sb="7" eb="8">
      <t>ブン</t>
    </rPh>
    <rPh sb="17" eb="20">
      <t>コウジヒ</t>
    </rPh>
    <rPh sb="25" eb="27">
      <t>キンガク</t>
    </rPh>
    <rPh sb="28" eb="30">
      <t>ニュウリョク</t>
    </rPh>
    <phoneticPr fontId="5"/>
  </si>
  <si>
    <t>工種が未入力です。
「一般事項」シートで工種を入力してください。</t>
    <rPh sb="0" eb="2">
      <t>コウシュ</t>
    </rPh>
    <rPh sb="3" eb="6">
      <t>ミニュウリョク</t>
    </rPh>
    <rPh sb="11" eb="13">
      <t>イッパン</t>
    </rPh>
    <rPh sb="13" eb="15">
      <t>ジコウ</t>
    </rPh>
    <rPh sb="20" eb="22">
      <t>コウシュ</t>
    </rPh>
    <rPh sb="23" eb="25">
      <t>ニュウリョク</t>
    </rPh>
    <phoneticPr fontId="5"/>
  </si>
  <si>
    <t>地域特性が未入力です。
「一般事項」シートで地域特性を入力してください。</t>
    <rPh sb="0" eb="2">
      <t>チイキ</t>
    </rPh>
    <rPh sb="2" eb="4">
      <t>トクセイ</t>
    </rPh>
    <rPh sb="5" eb="8">
      <t>ミニュウリョク</t>
    </rPh>
    <rPh sb="13" eb="15">
      <t>イッパン</t>
    </rPh>
    <rPh sb="15" eb="17">
      <t>ジコウ</t>
    </rPh>
    <rPh sb="22" eb="24">
      <t>チイキ</t>
    </rPh>
    <rPh sb="24" eb="26">
      <t>トクセイ</t>
    </rPh>
    <rPh sb="27" eb="29">
      <t>ニュウリョク</t>
    </rPh>
    <phoneticPr fontId="5"/>
  </si>
  <si>
    <t>自動計算値と一致していません。
「工種コード」、「地域特性コード」、「海上輸送補正」、「共通仮設費積算対象金額」、「共通仮設費の率分」の入力金額に間違いがないか確認してください。</t>
    <rPh sb="0" eb="2">
      <t>ジドウ</t>
    </rPh>
    <rPh sb="2" eb="5">
      <t>ケイサンチ</t>
    </rPh>
    <rPh sb="6" eb="8">
      <t>イッチ</t>
    </rPh>
    <rPh sb="17" eb="19">
      <t>コウシュ</t>
    </rPh>
    <rPh sb="25" eb="27">
      <t>チイキ</t>
    </rPh>
    <rPh sb="27" eb="29">
      <t>トクセイ</t>
    </rPh>
    <rPh sb="35" eb="37">
      <t>カイジョウ</t>
    </rPh>
    <rPh sb="37" eb="39">
      <t>ユソウ</t>
    </rPh>
    <rPh sb="39" eb="41">
      <t>ホセイ</t>
    </rPh>
    <rPh sb="44" eb="46">
      <t>キョウツウ</t>
    </rPh>
    <rPh sb="46" eb="49">
      <t>カセツヒ</t>
    </rPh>
    <rPh sb="49" eb="51">
      <t>セキサン</t>
    </rPh>
    <rPh sb="51" eb="53">
      <t>タイショウ</t>
    </rPh>
    <rPh sb="53" eb="55">
      <t>キンガク</t>
    </rPh>
    <rPh sb="58" eb="60">
      <t>キョウツウ</t>
    </rPh>
    <rPh sb="60" eb="63">
      <t>カセツヒ</t>
    </rPh>
    <rPh sb="64" eb="65">
      <t>リツ</t>
    </rPh>
    <rPh sb="65" eb="66">
      <t>ブン</t>
    </rPh>
    <rPh sb="68" eb="70">
      <t>ニュウリョク</t>
    </rPh>
    <rPh sb="70" eb="72">
      <t>キンガク</t>
    </rPh>
    <rPh sb="73" eb="75">
      <t>マチガ</t>
    </rPh>
    <rPh sb="80" eb="82">
      <t>カクニン</t>
    </rPh>
    <phoneticPr fontId="5"/>
  </si>
  <si>
    <t>入力している工種には大都市補正の基準がありません。
「一般事項」シートで入力している「工種コード」及び「地域特性コード」を確認してください。</t>
    <rPh sb="0" eb="2">
      <t>ニュウリョク</t>
    </rPh>
    <rPh sb="6" eb="8">
      <t>コウシュ</t>
    </rPh>
    <rPh sb="10" eb="13">
      <t>ダイトシ</t>
    </rPh>
    <rPh sb="13" eb="15">
      <t>ホセイ</t>
    </rPh>
    <rPh sb="16" eb="18">
      <t>キジュン</t>
    </rPh>
    <rPh sb="36" eb="38">
      <t>ニュウリョク</t>
    </rPh>
    <rPh sb="49" eb="50">
      <t>オヨ</t>
    </rPh>
    <rPh sb="52" eb="54">
      <t>チイキ</t>
    </rPh>
    <rPh sb="54" eb="56">
      <t>トクセイ</t>
    </rPh>
    <rPh sb="61" eb="63">
      <t>カクニン</t>
    </rPh>
    <phoneticPr fontId="5"/>
  </si>
  <si>
    <t>※「共通仮設費積算対象金額」自動計算結果</t>
    <rPh sb="18" eb="20">
      <t>ケッカ</t>
    </rPh>
    <phoneticPr fontId="5"/>
  </si>
  <si>
    <t>　　　　　　　　　　　　　　　　　　　　　　　　　　　　　+「準備費中の処分費」-「共通仮設費の対象額に含めない費用」</t>
    <phoneticPr fontId="5"/>
  </si>
  <si>
    <t>※「共通仮設費の率分」自動計算結果</t>
    <rPh sb="8" eb="9">
      <t>リツ</t>
    </rPh>
    <rPh sb="9" eb="10">
      <t>ブン</t>
    </rPh>
    <rPh sb="15" eb="17">
      <t>ケッカ</t>
    </rPh>
    <phoneticPr fontId="5"/>
  </si>
  <si>
    <t>項　　目</t>
    <rPh sb="0" eb="1">
      <t>コウ</t>
    </rPh>
    <rPh sb="3" eb="4">
      <t>メ</t>
    </rPh>
    <phoneticPr fontId="5"/>
  </si>
  <si>
    <t>入力シート</t>
    <rPh sb="0" eb="2">
      <t>ニュウリョク</t>
    </rPh>
    <phoneticPr fontId="5"/>
  </si>
  <si>
    <t>入力値</t>
    <phoneticPr fontId="5"/>
  </si>
  <si>
    <t>工種コード</t>
    <rPh sb="0" eb="2">
      <t>コウシュ</t>
    </rPh>
    <phoneticPr fontId="5"/>
  </si>
  <si>
    <t>←未入力です。「一般事項」シートで「工種」を入力してください。</t>
    <rPh sb="1" eb="4">
      <t>ミニュウリョク</t>
    </rPh>
    <rPh sb="8" eb="10">
      <t>イッパン</t>
    </rPh>
    <rPh sb="10" eb="12">
      <t>ジコウ</t>
    </rPh>
    <rPh sb="18" eb="20">
      <t>コウシュ</t>
    </rPh>
    <rPh sb="22" eb="24">
      <t>ニュウリョク</t>
    </rPh>
    <phoneticPr fontId="5"/>
  </si>
  <si>
    <t>←設計書の「積算工種区分」と入力値が一致しているか確認してください。</t>
    <rPh sb="14" eb="16">
      <t>ニュウリョク</t>
    </rPh>
    <rPh sb="16" eb="17">
      <t>チ</t>
    </rPh>
    <phoneticPr fontId="5"/>
  </si>
  <si>
    <t>地域特性コード</t>
    <phoneticPr fontId="5"/>
  </si>
  <si>
    <t>←未入力です。「一般事項」シートで「地域特性」を入力してください。</t>
    <rPh sb="1" eb="4">
      <t>ミニュウリョク</t>
    </rPh>
    <rPh sb="8" eb="10">
      <t>イッパン</t>
    </rPh>
    <rPh sb="10" eb="12">
      <t>ジコウ</t>
    </rPh>
    <rPh sb="18" eb="20">
      <t>チイキ</t>
    </rPh>
    <rPh sb="20" eb="22">
      <t>トクセイ</t>
    </rPh>
    <rPh sb="24" eb="26">
      <t>ニュウリョク</t>
    </rPh>
    <phoneticPr fontId="5"/>
  </si>
  <si>
    <t>←設計書の「施工地域区分」と入力値が一致しているか確認してください。</t>
    <rPh sb="14" eb="16">
      <t>ニュウリョク</t>
    </rPh>
    <rPh sb="16" eb="17">
      <t>チ</t>
    </rPh>
    <phoneticPr fontId="5"/>
  </si>
  <si>
    <t>除雪工事補正
　補正係数・区分</t>
    <rPh sb="0" eb="2">
      <t>ジョセツ</t>
    </rPh>
    <rPh sb="2" eb="4">
      <t>コウジ</t>
    </rPh>
    <rPh sb="4" eb="6">
      <t>ホセイ</t>
    </rPh>
    <rPh sb="8" eb="10">
      <t>ホセイ</t>
    </rPh>
    <rPh sb="10" eb="12">
      <t>ケイスウ</t>
    </rPh>
    <rPh sb="13" eb="15">
      <t>クブン</t>
    </rPh>
    <phoneticPr fontId="5"/>
  </si>
  <si>
    <t>←未入力です。「一般事項」シートで除雪工事補正の「補正係数・区分」を入力してください。</t>
    <rPh sb="1" eb="4">
      <t>ミニュウリョク</t>
    </rPh>
    <rPh sb="8" eb="10">
      <t>イッパン</t>
    </rPh>
    <rPh sb="10" eb="12">
      <t>ジコウ</t>
    </rPh>
    <rPh sb="17" eb="19">
      <t>ジョセツ</t>
    </rPh>
    <rPh sb="19" eb="21">
      <t>コウジ</t>
    </rPh>
    <rPh sb="21" eb="23">
      <t>ホセイ</t>
    </rPh>
    <rPh sb="25" eb="27">
      <t>ホセイ</t>
    </rPh>
    <rPh sb="27" eb="29">
      <t>ケイスウ</t>
    </rPh>
    <rPh sb="30" eb="32">
      <t>クブン</t>
    </rPh>
    <rPh sb="34" eb="36">
      <t>ニュウリョク</t>
    </rPh>
    <phoneticPr fontId="5"/>
  </si>
  <si>
    <t>←除雪工事補正の「補正係数・区分」が設計書と一致しているか確認してください。</t>
    <rPh sb="1" eb="3">
      <t>ジョセツ</t>
    </rPh>
    <rPh sb="3" eb="5">
      <t>コウジ</t>
    </rPh>
    <rPh sb="5" eb="7">
      <t>ホセイ</t>
    </rPh>
    <rPh sb="9" eb="11">
      <t>ホセイ</t>
    </rPh>
    <rPh sb="11" eb="13">
      <t>ケイスウ</t>
    </rPh>
    <rPh sb="14" eb="16">
      <t>クブン</t>
    </rPh>
    <phoneticPr fontId="5"/>
  </si>
  <si>
    <t>←「一般事項」シートの「除雪工事補正の有無」欄が未入力です。</t>
    <rPh sb="22" eb="23">
      <t>ラン</t>
    </rPh>
    <rPh sb="24" eb="27">
      <t>ミニュウリョク</t>
    </rPh>
    <phoneticPr fontId="5"/>
  </si>
  <si>
    <t>海上輸送補正の有無</t>
    <rPh sb="7" eb="9">
      <t>ウム</t>
    </rPh>
    <phoneticPr fontId="5"/>
  </si>
  <si>
    <t>←未入力です。「一般事項」シートで「海岸輸送補正の有無」を入力してください。</t>
    <rPh sb="1" eb="4">
      <t>ミニュウリョク</t>
    </rPh>
    <rPh sb="8" eb="10">
      <t>イッパン</t>
    </rPh>
    <rPh sb="10" eb="12">
      <t>ジコウ</t>
    </rPh>
    <rPh sb="18" eb="20">
      <t>カイガン</t>
    </rPh>
    <rPh sb="20" eb="22">
      <t>ユソウ</t>
    </rPh>
    <rPh sb="22" eb="24">
      <t>ホセイ</t>
    </rPh>
    <rPh sb="25" eb="27">
      <t>ウム</t>
    </rPh>
    <rPh sb="29" eb="31">
      <t>ニュウリョク</t>
    </rPh>
    <phoneticPr fontId="5"/>
  </si>
  <si>
    <t>←「海上輸送補正の有無」が設計書と一致しているか確認してください。</t>
    <rPh sb="9" eb="11">
      <t>ウム</t>
    </rPh>
    <phoneticPr fontId="5"/>
  </si>
  <si>
    <t>仮設営繕物貸与・敷地貸与補正
　補正係数・区分</t>
    <phoneticPr fontId="5"/>
  </si>
  <si>
    <t>←未入力です。「一般事項」シートで仮設営繕物貸与・敷地貸与補正の「補正係数・区分」を入力してください。</t>
    <rPh sb="1" eb="4">
      <t>ミニュウリョク</t>
    </rPh>
    <rPh sb="8" eb="10">
      <t>イッパン</t>
    </rPh>
    <rPh sb="10" eb="12">
      <t>ジコウ</t>
    </rPh>
    <rPh sb="33" eb="35">
      <t>ホセイ</t>
    </rPh>
    <rPh sb="35" eb="37">
      <t>ケイスウ</t>
    </rPh>
    <rPh sb="38" eb="40">
      <t>クブン</t>
    </rPh>
    <rPh sb="42" eb="44">
      <t>ニュウリョク</t>
    </rPh>
    <phoneticPr fontId="5"/>
  </si>
  <si>
    <t>←仮設営繕物貸与・敷地貸与補正の「補正係数・区分」が設計書と一致しているか確認してください。</t>
    <rPh sb="17" eb="19">
      <t>ホセイ</t>
    </rPh>
    <rPh sb="19" eb="21">
      <t>ケイスウ</t>
    </rPh>
    <rPh sb="22" eb="24">
      <t>クブン</t>
    </rPh>
    <phoneticPr fontId="5"/>
  </si>
  <si>
    <t>←「一般事項」シートの「仮設営繕物貸与・敷地貸与補正の有無」欄が未入力です。</t>
    <rPh sb="30" eb="31">
      <t>ラン</t>
    </rPh>
    <rPh sb="32" eb="35">
      <t>ミニュウリョク</t>
    </rPh>
    <phoneticPr fontId="5"/>
  </si>
  <si>
    <t>共通仮設費積算対象金額</t>
    <rPh sb="0" eb="2">
      <t>キョウツウ</t>
    </rPh>
    <rPh sb="2" eb="4">
      <t>カセツ</t>
    </rPh>
    <rPh sb="4" eb="5">
      <t>ヒ</t>
    </rPh>
    <rPh sb="5" eb="7">
      <t>セキサン</t>
    </rPh>
    <rPh sb="7" eb="9">
      <t>タイショウ</t>
    </rPh>
    <rPh sb="9" eb="11">
      <t>キンガク</t>
    </rPh>
    <phoneticPr fontId="5"/>
  </si>
  <si>
    <t>←未入力です。「工事費」シートで「共通仮設費積算対象金額」を入力してください。</t>
    <rPh sb="1" eb="4">
      <t>ミニュウリョク</t>
    </rPh>
    <rPh sb="8" eb="10">
      <t>コウジ</t>
    </rPh>
    <rPh sb="10" eb="11">
      <t>ヒ</t>
    </rPh>
    <rPh sb="30" eb="32">
      <t>ニュウリョク</t>
    </rPh>
    <phoneticPr fontId="5"/>
  </si>
  <si>
    <t>←設計書の「対象金額（非対象額は除く）」と入力値が一致しているか確認してください。</t>
    <rPh sb="1" eb="4">
      <t>セッケイショ</t>
    </rPh>
    <rPh sb="6" eb="8">
      <t>タイショウ</t>
    </rPh>
    <rPh sb="8" eb="10">
      <t>キンガク</t>
    </rPh>
    <rPh sb="11" eb="14">
      <t>ヒタイショウ</t>
    </rPh>
    <rPh sb="14" eb="15">
      <t>ガク</t>
    </rPh>
    <rPh sb="16" eb="17">
      <t>ノゾ</t>
    </rPh>
    <rPh sb="21" eb="23">
      <t>ニュウリョク</t>
    </rPh>
    <rPh sb="23" eb="24">
      <t>チ</t>
    </rPh>
    <rPh sb="25" eb="27">
      <t>イッチ</t>
    </rPh>
    <phoneticPr fontId="5"/>
  </si>
  <si>
    <t>共通仮設費の率分</t>
    <rPh sb="0" eb="2">
      <t>キョウツウ</t>
    </rPh>
    <rPh sb="2" eb="4">
      <t>カセツ</t>
    </rPh>
    <rPh sb="4" eb="5">
      <t>ヒ</t>
    </rPh>
    <rPh sb="6" eb="7">
      <t>リツ</t>
    </rPh>
    <rPh sb="7" eb="8">
      <t>ブン</t>
    </rPh>
    <phoneticPr fontId="5"/>
  </si>
  <si>
    <t>←未入力です。「工事費」シートで「共通仮設費の率分」を入力してください。</t>
    <rPh sb="1" eb="4">
      <t>ミニュウリョク</t>
    </rPh>
    <rPh sb="8" eb="11">
      <t>コウジヒ</t>
    </rPh>
    <rPh sb="27" eb="29">
      <t>ニュウリョク</t>
    </rPh>
    <phoneticPr fontId="5"/>
  </si>
  <si>
    <t>←設計書の「共通仮設費率分の金額」と入力値が一致しているか確認してください。</t>
    <rPh sb="18" eb="20">
      <t>ニュウリョク</t>
    </rPh>
    <rPh sb="20" eb="21">
      <t>チ</t>
    </rPh>
    <phoneticPr fontId="5"/>
  </si>
  <si>
    <t>トンネルと他工種</t>
  </si>
  <si>
    <t>トンネル</t>
  </si>
  <si>
    <t>海上輸送補正</t>
    <rPh sb="0" eb="2">
      <t>カイジョウ</t>
    </rPh>
    <rPh sb="2" eb="4">
      <t>ユソウ</t>
    </rPh>
    <rPh sb="4" eb="6">
      <t>ホセイ</t>
    </rPh>
    <phoneticPr fontId="5"/>
  </si>
  <si>
    <t>維持</t>
  </si>
  <si>
    <t>遮音壁・標識等</t>
  </si>
  <si>
    <t>舗装</t>
  </si>
  <si>
    <t>ＰＣ橋梁</t>
  </si>
  <si>
    <t>鉄骨橋梁</t>
  </si>
  <si>
    <t>橋梁下部</t>
  </si>
  <si>
    <t>一般土工</t>
  </si>
  <si>
    <t>複合</t>
  </si>
  <si>
    <t>排水</t>
  </si>
  <si>
    <t>道路等</t>
  </si>
  <si>
    <t>整地</t>
  </si>
  <si>
    <t>空港用地造成工事</t>
  </si>
  <si>
    <t>港湾構造物工事</t>
  </si>
  <si>
    <t>港湾浚渫工事</t>
  </si>
  <si>
    <t>コンクリート補修工事</t>
    <rPh sb="6" eb="8">
      <t>ホシュウ</t>
    </rPh>
    <rPh sb="8" eb="10">
      <t>コウジ</t>
    </rPh>
    <phoneticPr fontId="5"/>
  </si>
  <si>
    <t>畑かん施設工事</t>
  </si>
  <si>
    <t>管水路工事</t>
  </si>
  <si>
    <t>河川及び排水路工事</t>
  </si>
  <si>
    <t>水路工事</t>
  </si>
  <si>
    <t>水路トンネル工事</t>
  </si>
  <si>
    <t>農道工事</t>
  </si>
  <si>
    <t>農用地造成工事</t>
  </si>
  <si>
    <t>ほ場整備工事</t>
  </si>
  <si>
    <t>河川維持工事</t>
  </si>
  <si>
    <t>道路維持工事</t>
  </si>
  <si>
    <t>下水道工事（３）</t>
  </si>
  <si>
    <t>下水道工事（１）</t>
  </si>
  <si>
    <t>トンネル工事</t>
  </si>
  <si>
    <t>情報ボックス工事</t>
  </si>
  <si>
    <t>電線共同溝工事</t>
  </si>
  <si>
    <t>公園工事</t>
  </si>
  <si>
    <t>砂防・地すべり等工事</t>
  </si>
  <si>
    <t>鋼橋架設工事</t>
  </si>
  <si>
    <t>道路改良工事</t>
  </si>
  <si>
    <t>海岸工事</t>
  </si>
  <si>
    <t>河川・道路構造物工事</t>
  </si>
  <si>
    <t>河川工事</t>
  </si>
  <si>
    <t>仮設営繕物貸与敷地貸与補正No</t>
    <rPh sb="0" eb="2">
      <t>カセツ</t>
    </rPh>
    <rPh sb="2" eb="4">
      <t>エイゼン</t>
    </rPh>
    <rPh sb="4" eb="5">
      <t>ブツ</t>
    </rPh>
    <rPh sb="5" eb="7">
      <t>タイヨ</t>
    </rPh>
    <rPh sb="7" eb="9">
      <t>シキチ</t>
    </rPh>
    <rPh sb="9" eb="11">
      <t>タイヨ</t>
    </rPh>
    <rPh sb="11" eb="13">
      <t>ホセイ</t>
    </rPh>
    <phoneticPr fontId="5"/>
  </si>
  <si>
    <t>海上輸送補正の有無No</t>
    <rPh sb="0" eb="2">
      <t>カイジョウ</t>
    </rPh>
    <rPh sb="2" eb="4">
      <t>ユソウ</t>
    </rPh>
    <rPh sb="4" eb="6">
      <t>ホセイ</t>
    </rPh>
    <rPh sb="7" eb="9">
      <t>ウム</t>
    </rPh>
    <phoneticPr fontId="5"/>
  </si>
  <si>
    <t>補正係数</t>
    <rPh sb="0" eb="2">
      <t>ホセイ</t>
    </rPh>
    <rPh sb="2" eb="4">
      <t>ケイスウ</t>
    </rPh>
    <phoneticPr fontId="5"/>
  </si>
  <si>
    <t>配布年度</t>
    <rPh sb="0" eb="2">
      <t>ハイフ</t>
    </rPh>
    <rPh sb="2" eb="4">
      <t>ネンド</t>
    </rPh>
    <phoneticPr fontId="5"/>
  </si>
  <si>
    <t>共通仮設費率（自動計算値）</t>
    <rPh sb="0" eb="2">
      <t>キョウツウ</t>
    </rPh>
    <rPh sb="2" eb="5">
      <t>カセツヒ</t>
    </rPh>
    <rPh sb="5" eb="6">
      <t>リツ</t>
    </rPh>
    <rPh sb="7" eb="9">
      <t>ジドウ</t>
    </rPh>
    <rPh sb="9" eb="12">
      <t>ケイサンチ</t>
    </rPh>
    <phoneticPr fontId="5"/>
  </si>
  <si>
    <t>発注</t>
    <rPh sb="0" eb="2">
      <t>ハッチュウ</t>
    </rPh>
    <phoneticPr fontId="5"/>
  </si>
  <si>
    <t>ファイルの種類</t>
    <rPh sb="5" eb="7">
      <t>シュルイ</t>
    </rPh>
    <phoneticPr fontId="5"/>
  </si>
  <si>
    <t>KSS用の枠</t>
    <rPh sb="3" eb="4">
      <t>ヨウ</t>
    </rPh>
    <rPh sb="5" eb="6">
      <t>ワク</t>
    </rPh>
    <phoneticPr fontId="4"/>
  </si>
  <si>
    <t>仮設営繕物貸与敷地貸与補正有無</t>
    <rPh sb="0" eb="2">
      <t>カセツ</t>
    </rPh>
    <rPh sb="2" eb="4">
      <t>エイゼン</t>
    </rPh>
    <rPh sb="4" eb="5">
      <t>ブツ</t>
    </rPh>
    <rPh sb="5" eb="7">
      <t>タイヨ</t>
    </rPh>
    <rPh sb="7" eb="9">
      <t>シキチ</t>
    </rPh>
    <rPh sb="9" eb="11">
      <t>タイヨ</t>
    </rPh>
    <rPh sb="11" eb="13">
      <t>ホセイ</t>
    </rPh>
    <rPh sb="13" eb="15">
      <t>ウム</t>
    </rPh>
    <phoneticPr fontId="5"/>
  </si>
  <si>
    <t>確認</t>
    <rPh sb="0" eb="2">
      <t>カクニン</t>
    </rPh>
    <phoneticPr fontId="5"/>
  </si>
  <si>
    <t>２．未入力・エラーの確認</t>
    <rPh sb="2" eb="5">
      <t>ミニュウリョク</t>
    </rPh>
    <rPh sb="10" eb="12">
      <t>カクニン</t>
    </rPh>
    <phoneticPr fontId="5"/>
  </si>
  <si>
    <t>1：係数「0.95」・宿舎のみ使用</t>
  </si>
  <si>
    <t>2：係数「0.95」・事務所のみ使用</t>
  </si>
  <si>
    <t>3：係数「0.95」・倉庫のみ使用</t>
  </si>
  <si>
    <t>4：係数「0.90」・宿舎と事務所を使用</t>
  </si>
  <si>
    <t>5：係数「0.90」・宿舎と倉庫を使用</t>
  </si>
  <si>
    <t>6：係数「0.90」・事務所と倉庫を使用</t>
  </si>
  <si>
    <t>7：係数「0.85」・宿舎、事務所、倉庫を使用</t>
  </si>
  <si>
    <t>の使用実績のある場合、デザインされた特注品のかわりに</t>
    <phoneticPr fontId="5"/>
  </si>
  <si>
    <r>
      <t>　　　　・チェック結果欄に</t>
    </r>
    <r>
      <rPr>
        <b/>
        <sz val="12"/>
        <color indexed="10"/>
        <rFont val="ＭＳ Ｐゴシック"/>
        <family val="3"/>
        <charset val="128"/>
      </rPr>
      <t>「要確認」</t>
    </r>
    <r>
      <rPr>
        <b/>
        <sz val="12"/>
        <color indexed="12"/>
        <rFont val="ＭＳ Ｐゴシック"/>
        <family val="3"/>
        <charset val="128"/>
      </rPr>
      <t>が表示される場合は、「要確認一覧表」シートを参考に発注・元請ファイルの入力金額を確認してください。</t>
    </r>
    <r>
      <rPr>
        <b/>
        <sz val="12"/>
        <color rgb="FFFF0000"/>
        <rFont val="ＭＳ Ｐゴシック"/>
        <family val="3"/>
        <charset val="128"/>
      </rPr>
      <t>確認の結果、元請の計上に誤りがある場合は、「元請ファイル」の修正が必要です。</t>
    </r>
    <rPh sb="9" eb="11">
      <t>ケッカ</t>
    </rPh>
    <rPh sb="11" eb="12">
      <t>ラン</t>
    </rPh>
    <rPh sb="14" eb="15">
      <t>ヨウ</t>
    </rPh>
    <rPh sb="15" eb="17">
      <t>カクニン</t>
    </rPh>
    <rPh sb="19" eb="21">
      <t>ヒョウジ</t>
    </rPh>
    <rPh sb="24" eb="26">
      <t>バアイ</t>
    </rPh>
    <rPh sb="29" eb="30">
      <t>ヨウ</t>
    </rPh>
    <rPh sb="30" eb="32">
      <t>カクニン</t>
    </rPh>
    <phoneticPr fontId="5"/>
  </si>
  <si>
    <t>千代田区</t>
  </si>
  <si>
    <t>131016</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</si>
  <si>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</si>
  <si>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</si>
  <si>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</si>
  <si>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</si>
  <si>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</si>
  <si>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</si>
  <si>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</si>
  <si>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</si>
  <si>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</si>
  <si>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</si>
  <si>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</si>
  <si>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</si>
  <si>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</si>
  <si>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</si>
  <si>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</si>
  <si>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</si>
  <si>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</si>
  <si>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</si>
  <si>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</si>
  <si>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</si>
  <si>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</si>
  <si>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</si>
  <si>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</si>
  <si>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</si>
  <si>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</si>
  <si>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</si>
  <si>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</si>
  <si>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</si>
  <si>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</si>
  <si>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</si>
  <si>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</si>
  <si>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</si>
  <si>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</si>
  <si>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</si>
  <si>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</si>
  <si>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</si>
  <si>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</si>
  <si>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</si>
  <si>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</si>
  <si>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</si>
  <si>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</si>
  <si>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</si>
  <si>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</si>
  <si>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</si>
  <si>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札幌市</t>
  </si>
  <si>
    <t>011002</t>
  </si>
  <si>
    <t>仙台市</t>
  </si>
  <si>
    <t>041009</t>
  </si>
  <si>
    <t>さいたま市</t>
  </si>
  <si>
    <t>111007</t>
  </si>
  <si>
    <t>千葉市</t>
  </si>
  <si>
    <t>121002</t>
  </si>
  <si>
    <t>横浜市</t>
  </si>
  <si>
    <t>141003</t>
  </si>
  <si>
    <t>川崎市</t>
  </si>
  <si>
    <t>141305</t>
  </si>
  <si>
    <t>相模原市</t>
  </si>
  <si>
    <t>141500</t>
  </si>
  <si>
    <t>新潟市</t>
  </si>
  <si>
    <t>151009</t>
  </si>
  <si>
    <t>静岡市</t>
  </si>
  <si>
    <t>221007</t>
  </si>
  <si>
    <t>浜松市</t>
  </si>
  <si>
    <t>221309</t>
  </si>
  <si>
    <t>名古屋市</t>
  </si>
  <si>
    <t>231002</t>
  </si>
  <si>
    <t>京都市</t>
  </si>
  <si>
    <t>261009</t>
  </si>
  <si>
    <t>大阪市</t>
  </si>
  <si>
    <t>271004</t>
  </si>
  <si>
    <t>堺市</t>
  </si>
  <si>
    <t>271403</t>
  </si>
  <si>
    <t>神戸市</t>
  </si>
  <si>
    <t>281000</t>
  </si>
  <si>
    <t>岡山市</t>
  </si>
  <si>
    <t>331007</t>
  </si>
  <si>
    <t>広島市</t>
  </si>
  <si>
    <t>341002</t>
  </si>
  <si>
    <t>北九州市</t>
  </si>
  <si>
    <t>401005</t>
  </si>
  <si>
    <t>福岡市</t>
  </si>
  <si>
    <t>401307</t>
  </si>
  <si>
    <t>熊本市</t>
  </si>
  <si>
    <t>431001</t>
  </si>
  <si>
    <t>函館市</t>
  </si>
  <si>
    <t>012025</t>
  </si>
  <si>
    <t>旭川市</t>
  </si>
  <si>
    <t>012041</t>
  </si>
  <si>
    <t>青森市</t>
  </si>
  <si>
    <t>022012</t>
  </si>
  <si>
    <t>盛岡市</t>
  </si>
  <si>
    <t>032018</t>
  </si>
  <si>
    <t>秋田市</t>
  </si>
  <si>
    <t>052019</t>
  </si>
  <si>
    <t>郡山市</t>
  </si>
  <si>
    <t>072036</t>
  </si>
  <si>
    <t>いわき市</t>
  </si>
  <si>
    <t>072044</t>
  </si>
  <si>
    <t>宇都宮市</t>
  </si>
  <si>
    <t>092011</t>
  </si>
  <si>
    <t>前橋市</t>
  </si>
  <si>
    <t>102016</t>
  </si>
  <si>
    <t>高崎市</t>
  </si>
  <si>
    <t>102024</t>
  </si>
  <si>
    <t>川越市</t>
  </si>
  <si>
    <t>112011</t>
  </si>
  <si>
    <t>越谷市</t>
  </si>
  <si>
    <t>112224</t>
  </si>
  <si>
    <t>船橋市</t>
  </si>
  <si>
    <t>122041</t>
  </si>
  <si>
    <t>柏市</t>
  </si>
  <si>
    <t>122173</t>
  </si>
  <si>
    <t>八王子市</t>
  </si>
  <si>
    <t>132012</t>
  </si>
  <si>
    <t>横須賀市</t>
  </si>
  <si>
    <t>142018</t>
  </si>
  <si>
    <t>富山市</t>
  </si>
  <si>
    <t>162019</t>
  </si>
  <si>
    <t>金沢市</t>
  </si>
  <si>
    <t>172014</t>
  </si>
  <si>
    <t>長野市</t>
  </si>
  <si>
    <t>202011</t>
  </si>
  <si>
    <t>岐阜市</t>
  </si>
  <si>
    <t>212016</t>
  </si>
  <si>
    <t>豊橋市</t>
  </si>
  <si>
    <t>232017</t>
  </si>
  <si>
    <t>岡崎市</t>
  </si>
  <si>
    <t>232025</t>
  </si>
  <si>
    <t>豊田市</t>
  </si>
  <si>
    <t>232114</t>
  </si>
  <si>
    <t>大津市</t>
  </si>
  <si>
    <t>252018</t>
  </si>
  <si>
    <t>豊中市</t>
  </si>
  <si>
    <t>272035</t>
  </si>
  <si>
    <t>高槻市</t>
  </si>
  <si>
    <t>272078</t>
  </si>
  <si>
    <t>枚方市</t>
  </si>
  <si>
    <t>272108</t>
  </si>
  <si>
    <t>東大阪市</t>
  </si>
  <si>
    <t>272272</t>
  </si>
  <si>
    <t>姫路市</t>
  </si>
  <si>
    <t>282014</t>
  </si>
  <si>
    <t>尼崎市</t>
  </si>
  <si>
    <t>282022</t>
  </si>
  <si>
    <t>西宮市</t>
  </si>
  <si>
    <t>282049</t>
  </si>
  <si>
    <t>奈良市</t>
  </si>
  <si>
    <t>292010</t>
  </si>
  <si>
    <t>和歌山市</t>
  </si>
  <si>
    <t>302015</t>
  </si>
  <si>
    <t>倉敷市</t>
  </si>
  <si>
    <t>332020</t>
  </si>
  <si>
    <t>福山市</t>
  </si>
  <si>
    <t>342076</t>
  </si>
  <si>
    <t>下関市</t>
  </si>
  <si>
    <t>352012</t>
  </si>
  <si>
    <t>高松市</t>
  </si>
  <si>
    <t>372013</t>
  </si>
  <si>
    <t>松山市</t>
  </si>
  <si>
    <t>382019</t>
  </si>
  <si>
    <t>高知市</t>
  </si>
  <si>
    <t>392014</t>
  </si>
  <si>
    <t>久留米市</t>
  </si>
  <si>
    <t>402036</t>
  </si>
  <si>
    <t>長崎市</t>
  </si>
  <si>
    <t>422011</t>
  </si>
  <si>
    <t>大分市</t>
  </si>
  <si>
    <t>442011</t>
  </si>
  <si>
    <t>宮崎市</t>
  </si>
  <si>
    <t>452017</t>
  </si>
  <si>
    <t>鹿児島市</t>
  </si>
  <si>
    <t>462012</t>
  </si>
  <si>
    <t>那覇市</t>
  </si>
  <si>
    <t>472018</t>
  </si>
  <si>
    <t>八戸市</t>
  </si>
  <si>
    <t>022039</t>
  </si>
  <si>
    <t>山形市</t>
  </si>
  <si>
    <t>062014</t>
  </si>
  <si>
    <t>水戸市</t>
  </si>
  <si>
    <t>082015</t>
  </si>
  <si>
    <t>つくば市</t>
  </si>
  <si>
    <t>082201</t>
  </si>
  <si>
    <t>伊勢崎市</t>
  </si>
  <si>
    <t>102041</t>
  </si>
  <si>
    <t>太田市</t>
  </si>
  <si>
    <t>102059</t>
  </si>
  <si>
    <t>熊谷市</t>
  </si>
  <si>
    <t>112020</t>
  </si>
  <si>
    <t>川口市</t>
  </si>
  <si>
    <t>112038</t>
  </si>
  <si>
    <t>所沢市</t>
  </si>
  <si>
    <t>112089</t>
  </si>
  <si>
    <t>春日部市</t>
  </si>
  <si>
    <t>112143</t>
  </si>
  <si>
    <t>草加市</t>
  </si>
  <si>
    <t>112216</t>
  </si>
  <si>
    <t>平塚市</t>
  </si>
  <si>
    <t>142034</t>
  </si>
  <si>
    <t>小田原市</t>
  </si>
  <si>
    <t>142069</t>
  </si>
  <si>
    <t>茅ヶ崎市</t>
  </si>
  <si>
    <t>142077</t>
  </si>
  <si>
    <t>厚木市</t>
  </si>
  <si>
    <t>142123</t>
  </si>
  <si>
    <t>大和市</t>
  </si>
  <si>
    <t>142131</t>
  </si>
  <si>
    <t>長岡市</t>
  </si>
  <si>
    <t>152021</t>
  </si>
  <si>
    <t>上越市</t>
  </si>
  <si>
    <t>152226</t>
  </si>
  <si>
    <t>福井市</t>
  </si>
  <si>
    <t>182010</t>
  </si>
  <si>
    <t>甲府市</t>
  </si>
  <si>
    <t>192015</t>
  </si>
  <si>
    <t>松本市</t>
  </si>
  <si>
    <t>202029</t>
  </si>
  <si>
    <t>沼津市</t>
  </si>
  <si>
    <t>222038</t>
  </si>
  <si>
    <t>富士市</t>
  </si>
  <si>
    <t>222101</t>
  </si>
  <si>
    <t>一宮市</t>
  </si>
  <si>
    <t>232033</t>
  </si>
  <si>
    <t>春日井市</t>
  </si>
  <si>
    <t>232068</t>
  </si>
  <si>
    <t>四日市市</t>
  </si>
  <si>
    <t>242021</t>
  </si>
  <si>
    <t>岸和田市</t>
  </si>
  <si>
    <t>272027</t>
  </si>
  <si>
    <t>吹田市</t>
  </si>
  <si>
    <t>272051</t>
  </si>
  <si>
    <t>茨木市</t>
  </si>
  <si>
    <t>272116</t>
  </si>
  <si>
    <t>八尾市</t>
  </si>
  <si>
    <t>272124</t>
  </si>
  <si>
    <t>寝屋川市</t>
  </si>
  <si>
    <t>272159</t>
  </si>
  <si>
    <t>明石市</t>
  </si>
  <si>
    <t>282031</t>
  </si>
  <si>
    <t>加古川市</t>
  </si>
  <si>
    <t>282103</t>
  </si>
  <si>
    <t>宝塚市</t>
  </si>
  <si>
    <t>282146</t>
  </si>
  <si>
    <t>鳥取市</t>
  </si>
  <si>
    <t>312011</t>
  </si>
  <si>
    <t>松江市</t>
  </si>
  <si>
    <t>322016</t>
  </si>
  <si>
    <t>呉市</t>
  </si>
  <si>
    <t>342025</t>
  </si>
  <si>
    <t>佐賀市</t>
  </si>
  <si>
    <t>412015</t>
  </si>
  <si>
    <t>佐世保市</t>
  </si>
  <si>
    <t>422029</t>
  </si>
  <si>
    <t>371：空港舗装工事（制限区域内夜間工事）</t>
    <rPh sb="11" eb="13">
      <t>セイゲン</t>
    </rPh>
    <rPh sb="13" eb="16">
      <t>クイキナイ</t>
    </rPh>
    <rPh sb="16" eb="18">
      <t>ヤカン</t>
    </rPh>
    <rPh sb="18" eb="20">
      <t>コウジ</t>
    </rPh>
    <phoneticPr fontId="5"/>
  </si>
  <si>
    <t>372：空港舗装工事（制限区域内夜間工事以外）</t>
    <rPh sb="11" eb="13">
      <t>セイゲン</t>
    </rPh>
    <rPh sb="13" eb="16">
      <t>クイキナイ</t>
    </rPh>
    <rPh sb="16" eb="18">
      <t>ヤカン</t>
    </rPh>
    <rPh sb="18" eb="20">
      <t>コウジ</t>
    </rPh>
    <rPh sb="20" eb="22">
      <t>イガイ</t>
    </rPh>
    <phoneticPr fontId="5"/>
  </si>
  <si>
    <t>(７)</t>
    <phoneticPr fontId="4"/>
  </si>
  <si>
    <t>処分費「(７)その他のうち、処分費」</t>
    <rPh sb="0" eb="3">
      <t>ショブンヒ</t>
    </rPh>
    <rPh sb="9" eb="10">
      <t>タ</t>
    </rPh>
    <rPh sb="14" eb="17">
      <t>ショブンヒ</t>
    </rPh>
    <phoneticPr fontId="4"/>
  </si>
  <si>
    <t>(８)</t>
    <phoneticPr fontId="4"/>
  </si>
  <si>
    <t>※直接工事費の内数を記載して下さい</t>
    <rPh sb="1" eb="3">
      <t>チョクセツ</t>
    </rPh>
    <rPh sb="3" eb="6">
      <t>コウジヒ</t>
    </rPh>
    <rPh sb="7" eb="9">
      <t>ウチスウ</t>
    </rPh>
    <rPh sb="10" eb="12">
      <t>キサイ</t>
    </rPh>
    <rPh sb="14" eb="15">
      <t>クダ</t>
    </rPh>
    <phoneticPr fontId="4"/>
  </si>
  <si>
    <t>④</t>
    <phoneticPr fontId="4"/>
  </si>
  <si>
    <t>設定後片付け期間日数</t>
    <rPh sb="0" eb="2">
      <t>セッテイ</t>
    </rPh>
    <rPh sb="2" eb="5">
      <t>アトカタヅ</t>
    </rPh>
    <rPh sb="6" eb="8">
      <t>キカン</t>
    </rPh>
    <rPh sb="8" eb="10">
      <t>ニッスウ</t>
    </rPh>
    <phoneticPr fontId="4"/>
  </si>
  <si>
    <t>⑤</t>
    <phoneticPr fontId="4"/>
  </si>
  <si>
    <t>⑥</t>
    <phoneticPr fontId="4"/>
  </si>
  <si>
    <t>⑦</t>
    <phoneticPr fontId="4"/>
  </si>
  <si>
    <t>⑧</t>
    <phoneticPr fontId="4"/>
  </si>
  <si>
    <t>⑨</t>
    <phoneticPr fontId="4"/>
  </si>
  <si>
    <t>日交通量（最新センサスデータ）</t>
    <rPh sb="0" eb="1">
      <t>ニチ</t>
    </rPh>
    <rPh sb="1" eb="3">
      <t>コウツウ</t>
    </rPh>
    <rPh sb="3" eb="4">
      <t>リョウ</t>
    </rPh>
    <rPh sb="5" eb="7">
      <t>サイシン</t>
    </rPh>
    <phoneticPr fontId="5"/>
  </si>
  <si>
    <t>日/台</t>
    <rPh sb="0" eb="1">
      <t>ニチ</t>
    </rPh>
    <rPh sb="2" eb="3">
      <t>ダイ</t>
    </rPh>
    <phoneticPr fontId="5"/>
  </si>
  <si>
    <t>※代表路線の24時間交通量上下合計を入力して下さい。</t>
    <rPh sb="1" eb="3">
      <t>ダイヒョウ</t>
    </rPh>
    <rPh sb="3" eb="5">
      <t>ロセン</t>
    </rPh>
    <rPh sb="8" eb="10">
      <t>ジカン</t>
    </rPh>
    <rPh sb="10" eb="12">
      <t>コウツウ</t>
    </rPh>
    <rPh sb="12" eb="13">
      <t>リョウ</t>
    </rPh>
    <rPh sb="13" eb="15">
      <t>ジョウゲ</t>
    </rPh>
    <rPh sb="15" eb="17">
      <t>ゴウケイ</t>
    </rPh>
    <rPh sb="18" eb="20">
      <t>ニュウリョク</t>
    </rPh>
    <rPh sb="22" eb="23">
      <t>クダ</t>
    </rPh>
    <phoneticPr fontId="5"/>
  </si>
  <si>
    <t>（複数回答可）　　　　　　　　　　　　　　　　　　　　      　　　　　理由２：</t>
    <phoneticPr fontId="5"/>
  </si>
  <si>
    <t>１．全面通行止め（常時）　　２．全面通行止め（一時）　　　理由３：</t>
    <rPh sb="2" eb="4">
      <t>ゼンメン</t>
    </rPh>
    <rPh sb="4" eb="6">
      <t>ツウコウ</t>
    </rPh>
    <rPh sb="6" eb="7">
      <t>ド</t>
    </rPh>
    <rPh sb="9" eb="11">
      <t>ジョウジ</t>
    </rPh>
    <rPh sb="16" eb="18">
      <t>ゼンメン</t>
    </rPh>
    <rPh sb="18" eb="20">
      <t>ツウコウ</t>
    </rPh>
    <rPh sb="20" eb="21">
      <t>ド</t>
    </rPh>
    <rPh sb="23" eb="25">
      <t>イチジ</t>
    </rPh>
    <phoneticPr fontId="5"/>
  </si>
  <si>
    <t>３．片側交互通行規制　　　 ４．車線規制　 　　　　　　　　  理由４：</t>
    <rPh sb="2" eb="4">
      <t>カタガワ</t>
    </rPh>
    <rPh sb="4" eb="6">
      <t>コウゴ</t>
    </rPh>
    <rPh sb="6" eb="8">
      <t>ツウコウ</t>
    </rPh>
    <rPh sb="8" eb="10">
      <t>キセイ</t>
    </rPh>
    <rPh sb="16" eb="18">
      <t>シャセン</t>
    </rPh>
    <rPh sb="18" eb="20">
      <t>キセイ</t>
    </rPh>
    <phoneticPr fontId="5"/>
  </si>
  <si>
    <r>
      <t xml:space="preserve">５．路肩規制  </t>
    </r>
    <r>
      <rPr>
        <sz val="8"/>
        <rFont val="ＭＳ Ｐゴシック"/>
        <family val="3"/>
        <charset val="128"/>
      </rPr>
      <t xml:space="preserve">                         </t>
    </r>
    <r>
      <rPr>
        <sz val="10"/>
        <rFont val="ＭＳ Ｐゴシック"/>
        <family val="3"/>
        <charset val="128"/>
      </rPr>
      <t>６．歩道規制　　　　　　　　 　　理由５：</t>
    </r>
    <rPh sb="2" eb="4">
      <t>ロカタ</t>
    </rPh>
    <rPh sb="4" eb="6">
      <t>キセイ</t>
    </rPh>
    <phoneticPr fontId="5"/>
  </si>
  <si>
    <t>理由６：</t>
    <rPh sb="0" eb="2">
      <t>リユウ</t>
    </rPh>
    <phoneticPr fontId="5"/>
  </si>
  <si>
    <t>全面通行止め（常時）</t>
    <phoneticPr fontId="5"/>
  </si>
  <si>
    <t>全面通行止め（一時）</t>
    <phoneticPr fontId="5"/>
  </si>
  <si>
    <t>片側交互通行規制</t>
    <phoneticPr fontId="5"/>
  </si>
  <si>
    <t>車線規制</t>
    <phoneticPr fontId="5"/>
  </si>
  <si>
    <t>路肩規制</t>
    <phoneticPr fontId="5"/>
  </si>
  <si>
    <t>歩道規制</t>
    <phoneticPr fontId="5"/>
  </si>
  <si>
    <t>舗装種別</t>
    <rPh sb="0" eb="2">
      <t>ホソウ</t>
    </rPh>
    <rPh sb="2" eb="4">
      <t>シュベツ</t>
    </rPh>
    <phoneticPr fontId="5"/>
  </si>
  <si>
    <t>1：As舗装</t>
    <rPh sb="4" eb="6">
      <t>ホソウ</t>
    </rPh>
    <phoneticPr fontId="4"/>
  </si>
  <si>
    <t>2：Co舗装</t>
    <rPh sb="4" eb="6">
      <t>ホソウ</t>
    </rPh>
    <phoneticPr fontId="4"/>
  </si>
  <si>
    <t>舗装種別</t>
    <rPh sb="0" eb="2">
      <t>ホソウ</t>
    </rPh>
    <rPh sb="2" eb="4">
      <t>シュベツ</t>
    </rPh>
    <phoneticPr fontId="5"/>
  </si>
  <si>
    <t>共通仮設費率の補正</t>
    <rPh sb="0" eb="2">
      <t>キョウツウ</t>
    </rPh>
    <rPh sb="2" eb="4">
      <t>カセツ</t>
    </rPh>
    <rPh sb="4" eb="5">
      <t>ヒ</t>
    </rPh>
    <rPh sb="5" eb="6">
      <t>リツ</t>
    </rPh>
    <rPh sb="7" eb="9">
      <t>ホセイ</t>
    </rPh>
    <phoneticPr fontId="5"/>
  </si>
  <si>
    <t>現場管理費率の補正</t>
    <rPh sb="0" eb="2">
      <t>ゲンバ</t>
    </rPh>
    <rPh sb="2" eb="5">
      <t>カンリヒ</t>
    </rPh>
    <rPh sb="5" eb="6">
      <t>リツ</t>
    </rPh>
    <rPh sb="7" eb="9">
      <t>ホセイ</t>
    </rPh>
    <phoneticPr fontId="5"/>
  </si>
  <si>
    <t>積雪寒冷地域で施工時期が冬期となる場合（補正率を入力）</t>
    <rPh sb="0" eb="2">
      <t>セキセツ</t>
    </rPh>
    <rPh sb="2" eb="4">
      <t>カンレイ</t>
    </rPh>
    <rPh sb="4" eb="6">
      <t>チイキ</t>
    </rPh>
    <rPh sb="7" eb="9">
      <t>セコウ</t>
    </rPh>
    <rPh sb="9" eb="11">
      <t>ジキ</t>
    </rPh>
    <rPh sb="12" eb="14">
      <t>トウキ</t>
    </rPh>
    <rPh sb="17" eb="19">
      <t>バアイ</t>
    </rPh>
    <rPh sb="20" eb="22">
      <t>ホセイ</t>
    </rPh>
    <rPh sb="22" eb="23">
      <t>リツ</t>
    </rPh>
    <rPh sb="24" eb="26">
      <t>ニュウリョク</t>
    </rPh>
    <phoneticPr fontId="5"/>
  </si>
  <si>
    <t>緊急工事の場合</t>
    <rPh sb="0" eb="2">
      <t>キンキュウ</t>
    </rPh>
    <rPh sb="2" eb="4">
      <t>コウジ</t>
    </rPh>
    <rPh sb="5" eb="7">
      <t>バアイ</t>
    </rPh>
    <phoneticPr fontId="5"/>
  </si>
  <si>
    <t>Ⅵ</t>
    <phoneticPr fontId="5"/>
  </si>
  <si>
    <t>施工地域補正（共通仮設）</t>
    <rPh sb="0" eb="2">
      <t>セコウ</t>
    </rPh>
    <rPh sb="2" eb="4">
      <t>チイキ</t>
    </rPh>
    <rPh sb="4" eb="6">
      <t>ホセイ</t>
    </rPh>
    <rPh sb="7" eb="9">
      <t>キョウツウ</t>
    </rPh>
    <rPh sb="9" eb="11">
      <t>カセツ</t>
    </rPh>
    <phoneticPr fontId="5"/>
  </si>
  <si>
    <t>3：地方部（一般交通等の影響を受ける場合）（1.5%）</t>
    <rPh sb="4" eb="5">
      <t>ブ</t>
    </rPh>
    <rPh sb="6" eb="8">
      <t>イッパン</t>
    </rPh>
    <rPh sb="8" eb="10">
      <t>コウツウ</t>
    </rPh>
    <rPh sb="10" eb="11">
      <t>トウ</t>
    </rPh>
    <rPh sb="12" eb="14">
      <t>エイキョウ</t>
    </rPh>
    <rPh sb="15" eb="16">
      <t>ウ</t>
    </rPh>
    <rPh sb="18" eb="20">
      <t>バアイ</t>
    </rPh>
    <phoneticPr fontId="5"/>
  </si>
  <si>
    <t>4：地方部（一般交通等の影響を受けない場合）（0.0%）</t>
    <rPh sb="4" eb="5">
      <t>ブ</t>
    </rPh>
    <rPh sb="6" eb="8">
      <t>イッパン</t>
    </rPh>
    <rPh sb="8" eb="10">
      <t>コウツウ</t>
    </rPh>
    <rPh sb="10" eb="11">
      <t>トウ</t>
    </rPh>
    <rPh sb="12" eb="14">
      <t>エイキョウ</t>
    </rPh>
    <rPh sb="15" eb="16">
      <t>ウ</t>
    </rPh>
    <rPh sb="19" eb="21">
      <t>バアイ</t>
    </rPh>
    <phoneticPr fontId="5"/>
  </si>
  <si>
    <t>施工地域補正（現場管理）</t>
    <rPh sb="0" eb="2">
      <t>セコウ</t>
    </rPh>
    <rPh sb="2" eb="4">
      <t>チイキ</t>
    </rPh>
    <rPh sb="4" eb="6">
      <t>ホセイ</t>
    </rPh>
    <rPh sb="7" eb="9">
      <t>ゲンバ</t>
    </rPh>
    <rPh sb="9" eb="11">
      <t>カンリ</t>
    </rPh>
    <phoneticPr fontId="5"/>
  </si>
  <si>
    <t>積雪寒冷地補正</t>
    <rPh sb="0" eb="2">
      <t>セキセツ</t>
    </rPh>
    <rPh sb="2" eb="5">
      <t>カンレイチ</t>
    </rPh>
    <rPh sb="5" eb="7">
      <t>ホセイ</t>
    </rPh>
    <phoneticPr fontId="5"/>
  </si>
  <si>
    <t>1：補正あり・係数「1.8」</t>
    <rPh sb="2" eb="4">
      <t>ホセイ</t>
    </rPh>
    <rPh sb="7" eb="9">
      <t>ケイスウ</t>
    </rPh>
    <phoneticPr fontId="4"/>
  </si>
  <si>
    <t>2：補正あり・係数「1.6」</t>
    <rPh sb="2" eb="4">
      <t>ホセイ</t>
    </rPh>
    <rPh sb="7" eb="9">
      <t>ケイスウ</t>
    </rPh>
    <phoneticPr fontId="4"/>
  </si>
  <si>
    <t>3：補正あり・係数「1.4」</t>
    <rPh sb="2" eb="4">
      <t>ホセイ</t>
    </rPh>
    <rPh sb="7" eb="9">
      <t>ケイスウ</t>
    </rPh>
    <phoneticPr fontId="4"/>
  </si>
  <si>
    <t>4：補正あり・係数「1.2」</t>
    <rPh sb="2" eb="4">
      <t>ホセイ</t>
    </rPh>
    <rPh sb="7" eb="9">
      <t>ケイスウ</t>
    </rPh>
    <phoneticPr fontId="4"/>
  </si>
  <si>
    <t>5：補正なし</t>
    <rPh sb="2" eb="4">
      <t>ホセイ</t>
    </rPh>
    <phoneticPr fontId="4"/>
  </si>
  <si>
    <t>整理番号</t>
  </si>
  <si>
    <t>ファイル種別</t>
    <rPh sb="4" eb="6">
      <t>シュベツ</t>
    </rPh>
    <phoneticPr fontId="53"/>
  </si>
  <si>
    <t>省庁</t>
  </si>
  <si>
    <t>局</t>
  </si>
  <si>
    <t>抽出年度
（調査票Ver）</t>
    <phoneticPr fontId="53"/>
  </si>
  <si>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</si>
  <si>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</si>
  <si>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</si>
  <si>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</si>
  <si>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</si>
  <si>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</si>
  <si>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</si>
  <si>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</si>
  <si>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</si>
  <si>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</si>
  <si>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</si>
  <si>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</si>
  <si>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</si>
  <si>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</si>
  <si>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</si>
  <si>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</si>
  <si>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</si>
  <si>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</si>
  <si>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</si>
  <si>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発注</t>
    <rPh sb="0" eb="2">
      <t>ハッチュウ</t>
    </rPh>
    <phoneticPr fontId="53"/>
  </si>
  <si>
    <t>施工パッケージ型積算方式</t>
    <rPh sb="0" eb="2">
      <t>セコウ</t>
    </rPh>
    <rPh sb="7" eb="8">
      <t>カタ</t>
    </rPh>
    <rPh sb="8" eb="10">
      <t>セキサン</t>
    </rPh>
    <rPh sb="10" eb="12">
      <t>ホウシキ</t>
    </rPh>
    <phoneticPr fontId="5"/>
  </si>
  <si>
    <t>省コード</t>
  </si>
  <si>
    <t>下限</t>
    <rPh sb="0" eb="2">
      <t>カゲン</t>
    </rPh>
    <phoneticPr fontId="5"/>
  </si>
  <si>
    <t>上限</t>
    <rPh sb="0" eb="2">
      <t>ジョウゲン</t>
    </rPh>
    <phoneticPr fontId="5"/>
  </si>
  <si>
    <t>A</t>
  </si>
  <si>
    <t>ｂ</t>
  </si>
  <si>
    <t>補正率</t>
    <rPh sb="0" eb="2">
      <t>ホセイ</t>
    </rPh>
    <rPh sb="2" eb="3">
      <t>リツ</t>
    </rPh>
    <phoneticPr fontId="5"/>
  </si>
  <si>
    <t>大都市(1)</t>
    <rPh sb="0" eb="3">
      <t>ダイトシ</t>
    </rPh>
    <phoneticPr fontId="5"/>
  </si>
  <si>
    <t>大都市(2)</t>
    <rPh sb="0" eb="3">
      <t>ダイトシ</t>
    </rPh>
    <phoneticPr fontId="5"/>
  </si>
  <si>
    <t>除雪補正</t>
    <rPh sb="0" eb="2">
      <t>ジョセツ</t>
    </rPh>
    <rPh sb="2" eb="4">
      <t>ホセイ</t>
    </rPh>
    <phoneticPr fontId="5"/>
  </si>
  <si>
    <t>仮設営繕・敷地貸与補正</t>
    <rPh sb="0" eb="2">
      <t>カセツ</t>
    </rPh>
    <rPh sb="2" eb="4">
      <t>エイゼン</t>
    </rPh>
    <rPh sb="5" eb="7">
      <t>シキチ</t>
    </rPh>
    <rPh sb="7" eb="9">
      <t>タイヨ</t>
    </rPh>
    <rPh sb="9" eb="11">
      <t>ホセイ</t>
    </rPh>
    <phoneticPr fontId="5"/>
  </si>
  <si>
    <t>港湾以外</t>
    <rPh sb="0" eb="2">
      <t>コウワン</t>
    </rPh>
    <rPh sb="2" eb="4">
      <t>イガイ</t>
    </rPh>
    <phoneticPr fontId="5"/>
  </si>
  <si>
    <t>港湾</t>
    <rPh sb="0" eb="2">
      <t>コウワン</t>
    </rPh>
    <phoneticPr fontId="5"/>
  </si>
  <si>
    <t>宿舎のみ使用</t>
  </si>
  <si>
    <t>事務所のみ使用</t>
  </si>
  <si>
    <t>倉庫のみ使用</t>
  </si>
  <si>
    <t>宿舎と事務所を使用</t>
  </si>
  <si>
    <t>宿舎と倉庫を使用</t>
  </si>
  <si>
    <t>事務所と倉庫を使用</t>
  </si>
  <si>
    <t>宿舎、事務所、倉庫を使用</t>
  </si>
  <si>
    <t>仮設営繕物を貸与する場合</t>
  </si>
  <si>
    <t>無償敷地に仮設営繕物を築造する場合</t>
  </si>
  <si>
    <t>1：国際戦略港湾・国際拠点港湾（2.0％）</t>
    <rPh sb="2" eb="4">
      <t>コクサイ</t>
    </rPh>
    <rPh sb="4" eb="6">
      <t>センリャク</t>
    </rPh>
    <rPh sb="6" eb="8">
      <t>コウワン</t>
    </rPh>
    <rPh sb="9" eb="11">
      <t>コクサイ</t>
    </rPh>
    <rPh sb="11" eb="13">
      <t>キョテン</t>
    </rPh>
    <rPh sb="13" eb="15">
      <t>コウワン</t>
    </rPh>
    <phoneticPr fontId="4"/>
  </si>
  <si>
    <t>2：重要港湾・地方港湾（１）（1.5％）</t>
    <rPh sb="2" eb="4">
      <t>ジュウヨウ</t>
    </rPh>
    <rPh sb="4" eb="6">
      <t>コウワン</t>
    </rPh>
    <rPh sb="7" eb="9">
      <t>チホウ</t>
    </rPh>
    <rPh sb="9" eb="11">
      <t>コウワン</t>
    </rPh>
    <phoneticPr fontId="4"/>
  </si>
  <si>
    <t>3：地方港湾（２）（1.0％）</t>
    <rPh sb="2" eb="4">
      <t>チホウ</t>
    </rPh>
    <rPh sb="4" eb="6">
      <t>コウワン</t>
    </rPh>
    <phoneticPr fontId="4"/>
  </si>
  <si>
    <t>4：地方港湾（３）工事場所が一般交通等の影響を受ける場合（1.5％）</t>
    <rPh sb="2" eb="4">
      <t>チホウ</t>
    </rPh>
    <rPh sb="4" eb="6">
      <t>コウワン</t>
    </rPh>
    <rPh sb="9" eb="11">
      <t>コウジ</t>
    </rPh>
    <rPh sb="11" eb="13">
      <t>バショ</t>
    </rPh>
    <rPh sb="14" eb="16">
      <t>イッパン</t>
    </rPh>
    <rPh sb="16" eb="18">
      <t>コウツウ</t>
    </rPh>
    <rPh sb="18" eb="19">
      <t>トウ</t>
    </rPh>
    <rPh sb="20" eb="22">
      <t>エイキョウ</t>
    </rPh>
    <rPh sb="23" eb="24">
      <t>ウ</t>
    </rPh>
    <rPh sb="26" eb="28">
      <t>バアイ</t>
    </rPh>
    <phoneticPr fontId="4"/>
  </si>
  <si>
    <t>5：地方港湾（３）工事場所が一般交通等の影響を受ける場合（0.0％）</t>
    <rPh sb="2" eb="4">
      <t>チホウ</t>
    </rPh>
    <rPh sb="4" eb="6">
      <t>コウワン</t>
    </rPh>
    <rPh sb="9" eb="11">
      <t>コウジ</t>
    </rPh>
    <rPh sb="11" eb="13">
      <t>バショ</t>
    </rPh>
    <rPh sb="14" eb="16">
      <t>イッパン</t>
    </rPh>
    <rPh sb="16" eb="18">
      <t>コウツウ</t>
    </rPh>
    <rPh sb="18" eb="19">
      <t>トウ</t>
    </rPh>
    <rPh sb="20" eb="22">
      <t>エイキョウ</t>
    </rPh>
    <rPh sb="23" eb="24">
      <t>ウ</t>
    </rPh>
    <rPh sb="26" eb="28">
      <t>バアイ</t>
    </rPh>
    <phoneticPr fontId="4"/>
  </si>
  <si>
    <t>ケース判定</t>
    <rPh sb="3" eb="5">
      <t>ハンテイ</t>
    </rPh>
    <phoneticPr fontId="5"/>
  </si>
  <si>
    <t>ＰＣ橋工事</t>
  </si>
  <si>
    <t>舗装工事（新設）</t>
    <rPh sb="5" eb="7">
      <t>シンセツ</t>
    </rPh>
    <phoneticPr fontId="5"/>
  </si>
  <si>
    <t>舗装工事（修繕工事）</t>
  </si>
  <si>
    <t>補正係数・補正率</t>
    <rPh sb="0" eb="2">
      <t>ホセイ</t>
    </rPh>
    <rPh sb="2" eb="4">
      <t>ケイスウ</t>
    </rPh>
    <rPh sb="5" eb="7">
      <t>ホセイ</t>
    </rPh>
    <rPh sb="7" eb="8">
      <t>リツ</t>
    </rPh>
    <phoneticPr fontId="5"/>
  </si>
  <si>
    <t>機関</t>
    <rPh sb="0" eb="2">
      <t>キカン</t>
    </rPh>
    <phoneticPr fontId="5"/>
  </si>
  <si>
    <t>橋梁保全工事</t>
    <rPh sb="0" eb="2">
      <t>キョウリョウ</t>
    </rPh>
    <rPh sb="2" eb="4">
      <t>ホゼン</t>
    </rPh>
    <rPh sb="4" eb="6">
      <t>コウジ</t>
    </rPh>
    <phoneticPr fontId="5"/>
  </si>
  <si>
    <t>施工地域区分</t>
    <rPh sb="0" eb="2">
      <t>セコウ</t>
    </rPh>
    <rPh sb="2" eb="4">
      <t>チイキ</t>
    </rPh>
    <rPh sb="4" eb="6">
      <t>クブン</t>
    </rPh>
    <phoneticPr fontId="5"/>
  </si>
  <si>
    <t>大都市・市街地補正</t>
    <rPh sb="0" eb="3">
      <t>ダイトシ</t>
    </rPh>
    <rPh sb="4" eb="7">
      <t>シガイチ</t>
    </rPh>
    <rPh sb="7" eb="9">
      <t>ホセイ</t>
    </rPh>
    <phoneticPr fontId="5"/>
  </si>
  <si>
    <t>無し</t>
  </si>
  <si>
    <t>共同溝等工事（１）</t>
  </si>
  <si>
    <t>共同溝等工事（２）</t>
  </si>
  <si>
    <t/>
  </si>
  <si>
    <t>復興補正</t>
    <rPh sb="0" eb="2">
      <t>フッコウ</t>
    </rPh>
    <rPh sb="2" eb="4">
      <t>ホセイ</t>
    </rPh>
    <phoneticPr fontId="5"/>
  </si>
  <si>
    <t>下水道工事（２）「函渠、管渠等（開削）」　</t>
  </si>
  <si>
    <t>地域補正（港湾）</t>
    <rPh sb="0" eb="2">
      <t>チイキ</t>
    </rPh>
    <rPh sb="2" eb="4">
      <t>ホセイ</t>
    </rPh>
    <rPh sb="5" eb="7">
      <t>コウワン</t>
    </rPh>
    <phoneticPr fontId="5"/>
  </si>
  <si>
    <t>下水道工事（２）「側溝、水路等」　</t>
  </si>
  <si>
    <t>下水道工事（２）「推進（口径≦500mm）」</t>
  </si>
  <si>
    <t>下水道工事（２）「推進（500mm&lt;口径&lt;800mm）」</t>
  </si>
  <si>
    <t>共通仮設費対象額（千円）</t>
    <rPh sb="0" eb="2">
      <t>キョウツウ</t>
    </rPh>
    <rPh sb="2" eb="4">
      <t>カセツ</t>
    </rPh>
    <rPh sb="4" eb="5">
      <t>ヒ</t>
    </rPh>
    <rPh sb="5" eb="7">
      <t>タイショウ</t>
    </rPh>
    <rPh sb="7" eb="8">
      <t>ガク</t>
    </rPh>
    <rPh sb="9" eb="11">
      <t>センエン</t>
    </rPh>
    <phoneticPr fontId="5"/>
  </si>
  <si>
    <t>下限額（千円）</t>
    <rPh sb="0" eb="2">
      <t>カゲン</t>
    </rPh>
    <rPh sb="2" eb="3">
      <t>ガク</t>
    </rPh>
    <phoneticPr fontId="5"/>
  </si>
  <si>
    <t>上限額（千円）</t>
    <rPh sb="0" eb="2">
      <t>ジョウゲン</t>
    </rPh>
    <rPh sb="2" eb="3">
      <t>ガク</t>
    </rPh>
    <phoneticPr fontId="5"/>
  </si>
  <si>
    <t>下限率</t>
    <rPh sb="0" eb="2">
      <t>カゲン</t>
    </rPh>
    <rPh sb="2" eb="3">
      <t>リツ</t>
    </rPh>
    <phoneticPr fontId="5"/>
  </si>
  <si>
    <t>上限率</t>
    <rPh sb="0" eb="2">
      <t>ジョウゲン</t>
    </rPh>
    <rPh sb="2" eb="3">
      <t>リツ</t>
    </rPh>
    <phoneticPr fontId="5"/>
  </si>
  <si>
    <t>下水道工事（４）管更生「製管工法（機械製管）」</t>
  </si>
  <si>
    <t>下水道工事（４）管更生「製管工法（人力製管）」</t>
  </si>
  <si>
    <t>下水道工事（４）管更生「反転工法」</t>
  </si>
  <si>
    <t>率</t>
    <rPh sb="0" eb="1">
      <t>リツ</t>
    </rPh>
    <phoneticPr fontId="5"/>
  </si>
  <si>
    <t>下水道工事（４）管更生「形成工法」</t>
  </si>
  <si>
    <t>共通仮設費率（補正前）</t>
    <rPh sb="0" eb="2">
      <t>キョウツウ</t>
    </rPh>
    <rPh sb="2" eb="4">
      <t>カセツ</t>
    </rPh>
    <rPh sb="4" eb="5">
      <t>ヒ</t>
    </rPh>
    <rPh sb="5" eb="6">
      <t>リツ</t>
    </rPh>
    <rPh sb="7" eb="9">
      <t>ホセイ</t>
    </rPh>
    <rPh sb="9" eb="10">
      <t>マエ</t>
    </rPh>
    <phoneticPr fontId="5"/>
  </si>
  <si>
    <t>下水道工事（４）管更生「その他工法」</t>
  </si>
  <si>
    <t>大都市補正のケース</t>
    <rPh sb="0" eb="3">
      <t>ダイトシ</t>
    </rPh>
    <rPh sb="3" eb="5">
      <t>ホセイ</t>
    </rPh>
    <phoneticPr fontId="5"/>
  </si>
  <si>
    <t>コンクリートダム工事(建)</t>
  </si>
  <si>
    <t>地域補正のケース</t>
    <rPh sb="0" eb="2">
      <t>チイキ</t>
    </rPh>
    <rPh sb="2" eb="4">
      <t>ホセイ</t>
    </rPh>
    <phoneticPr fontId="5"/>
  </si>
  <si>
    <t>フィルダム工事(建)</t>
  </si>
  <si>
    <t>電気通信設備工事(道路維持工事)</t>
    <phoneticPr fontId="5"/>
  </si>
  <si>
    <t>ケース詳細</t>
    <rPh sb="3" eb="5">
      <t>ショウサイ</t>
    </rPh>
    <phoneticPr fontId="5"/>
  </si>
  <si>
    <t>電気通信設備工事(河川維持工事)</t>
    <rPh sb="9" eb="11">
      <t>カセン</t>
    </rPh>
    <phoneticPr fontId="5"/>
  </si>
  <si>
    <t>A-1</t>
    <phoneticPr fontId="5"/>
  </si>
  <si>
    <t>「工種コードによる共通仮設費率（kr）」+「地域特性コードによる補正値」</t>
    <phoneticPr fontId="5"/>
  </si>
  <si>
    <t>光ケーブル工事(道路維持工事)</t>
  </si>
  <si>
    <t>A-2</t>
  </si>
  <si>
    <t>「工種コードによる共通仮設費率（kr）」+「地域特性コードによる補正値」+「海上輸送による補正値」</t>
    <phoneticPr fontId="5"/>
  </si>
  <si>
    <t>光ケーブル工事(河川維持工事)</t>
  </si>
  <si>
    <t>A-3</t>
  </si>
  <si>
    <t>「工種コードによる共通仮設費率(kr)」×「除雪工事補正係数」+「地域特性コードによる補正値」</t>
    <phoneticPr fontId="5"/>
  </si>
  <si>
    <t>A-4</t>
  </si>
  <si>
    <t>「工種コードによる共通仮設費率(kr)」×「大都市補正係数」</t>
    <phoneticPr fontId="5"/>
  </si>
  <si>
    <t>A-5</t>
  </si>
  <si>
    <t>「工種コードによる共通仮設費率(kr)」×「除雪工事補正係数」+「工種コードによる共通仮設費率(kr)」×大都市補正係数-「工種コードによる共通仮設費率(kr)」</t>
    <phoneticPr fontId="5"/>
  </si>
  <si>
    <t>海岸（港）工事</t>
  </si>
  <si>
    <t>A-6</t>
  </si>
  <si>
    <t>「工種コードによる共通仮設費率（kr）」+「地域特性コードによる補正値」）×「営繕補正係数」</t>
    <rPh sb="39" eb="41">
      <t>エイゼン</t>
    </rPh>
    <rPh sb="41" eb="43">
      <t>ホセイ</t>
    </rPh>
    <rPh sb="43" eb="45">
      <t>ケイスウ</t>
    </rPh>
    <phoneticPr fontId="5"/>
  </si>
  <si>
    <t>港湾浚渫工事（維持補修）</t>
  </si>
  <si>
    <t>B-1</t>
    <phoneticPr fontId="5"/>
  </si>
  <si>
    <t>(「工種コードによる共通仮設費率（kr）」+「地域特性コードによる補正値」)×「復興補正係数」</t>
    <rPh sb="40" eb="42">
      <t>フッコウ</t>
    </rPh>
    <rPh sb="42" eb="44">
      <t>ホセイ</t>
    </rPh>
    <rPh sb="44" eb="46">
      <t>ケイスウ</t>
    </rPh>
    <phoneticPr fontId="5"/>
  </si>
  <si>
    <t>港湾構造物工事（維持補修）</t>
  </si>
  <si>
    <t>B-2</t>
  </si>
  <si>
    <t>(「工種コードによる共通仮設費率（kr）」+「地域特性コードによる補正値」+「海上輸送による補正値」)×「復興補正係数」</t>
    <phoneticPr fontId="5"/>
  </si>
  <si>
    <t>海岸工事（港（維持補修））</t>
  </si>
  <si>
    <t>B-3</t>
  </si>
  <si>
    <t>(「工種コードによる共通仮設費率(kr)」×「除雪工事補正係数」+「地域特性コードによる補正値」)×「復興補正係数」</t>
    <phoneticPr fontId="5"/>
  </si>
  <si>
    <t>防舷材、電気防食工事</t>
  </si>
  <si>
    <t>B-4</t>
  </si>
  <si>
    <t>「工種コードによる共通仮設費率(kr)」×「大都市補正係数」×「復興補正係数」</t>
    <phoneticPr fontId="5"/>
  </si>
  <si>
    <t>河川・道路構造物工事（港）</t>
  </si>
  <si>
    <t>B-5</t>
  </si>
  <si>
    <t>(「工種コードによる共通仮設費率(kr)」×「除雪工事補正係数」+「工種コードによる共通仮設費率(kr)」×大都市補正係数-「工種コードによる共通仮設費率(kr)」)×「復興補正係数」</t>
    <phoneticPr fontId="5"/>
  </si>
  <si>
    <t>空港舗装工事（制限区域内夜間工事）</t>
  </si>
  <si>
    <t>空港舗装工事（制限区域内夜間工事以外）</t>
  </si>
  <si>
    <t>空港維持工事(除雪なし)</t>
  </si>
  <si>
    <t>空港維持工事(除雪あり)</t>
  </si>
  <si>
    <t>その他土木工事（１）</t>
  </si>
  <si>
    <t>その他土木工事（２）</t>
  </si>
  <si>
    <t>海岸（農）工事</t>
    <rPh sb="0" eb="2">
      <t>カイガン</t>
    </rPh>
    <rPh sb="3" eb="4">
      <t>ノウ</t>
    </rPh>
    <phoneticPr fontId="5"/>
  </si>
  <si>
    <t>干拓工事</t>
  </si>
  <si>
    <t>フィルダム（農）工事</t>
  </si>
  <si>
    <t>コンクリートダム（農）工事</t>
  </si>
  <si>
    <t>管更生工事（機械製管工法）</t>
  </si>
  <si>
    <t>管更生工事（人力製管工法）</t>
  </si>
  <si>
    <t>管更生工事（反転工法）</t>
  </si>
  <si>
    <t>管更生工事（形成工法）</t>
  </si>
  <si>
    <t>管更生工事（その他工法）</t>
  </si>
  <si>
    <t>舗装（NEXCO）</t>
  </si>
  <si>
    <t>塗替塗装</t>
    <rPh sb="0" eb="1">
      <t>ヌ</t>
    </rPh>
    <rPh sb="1" eb="2">
      <t>カ</t>
    </rPh>
    <rPh sb="2" eb="4">
      <t>トソウ</t>
    </rPh>
    <phoneticPr fontId="5"/>
  </si>
  <si>
    <t>防護柵</t>
  </si>
  <si>
    <t>造園（NEXCO）</t>
  </si>
  <si>
    <t>積算方法の試行（入札不調・不落対策）</t>
    <rPh sb="0" eb="2">
      <t>セキサン</t>
    </rPh>
    <rPh sb="2" eb="4">
      <t>ホウホウ</t>
    </rPh>
    <rPh sb="5" eb="7">
      <t>シコウ</t>
    </rPh>
    <rPh sb="8" eb="10">
      <t>ニュウサツ</t>
    </rPh>
    <rPh sb="10" eb="12">
      <t>フチョウ</t>
    </rPh>
    <rPh sb="13" eb="15">
      <t>フラク</t>
    </rPh>
    <rPh sb="15" eb="17">
      <t>タイサク</t>
    </rPh>
    <phoneticPr fontId="6"/>
  </si>
  <si>
    <t>1：市街地（2.0%）</t>
  </si>
  <si>
    <t>2：山間僻地及び離島（1.0%）</t>
  </si>
  <si>
    <t>A 快適ﾄｲﾚ費用「ト 営繕費」のうち、快適ﾄｲﾚ費用</t>
    <rPh sb="2" eb="4">
      <t>カイテキ</t>
    </rPh>
    <rPh sb="7" eb="9">
      <t>ヒヨウ</t>
    </rPh>
    <rPh sb="12" eb="14">
      <t>エイゼン</t>
    </rPh>
    <rPh sb="14" eb="15">
      <t>ヒ</t>
    </rPh>
    <rPh sb="20" eb="22">
      <t>カイテキ</t>
    </rPh>
    <rPh sb="25" eb="27">
      <t>ヒヨウ</t>
    </rPh>
    <phoneticPr fontId="5"/>
  </si>
  <si>
    <t>Ｄ ＮＴＴ防護管設置費用</t>
    <rPh sb="5" eb="7">
      <t>ボウゴ</t>
    </rPh>
    <rPh sb="7" eb="8">
      <t>カン</t>
    </rPh>
    <rPh sb="8" eb="10">
      <t>セッチ</t>
    </rPh>
    <rPh sb="10" eb="12">
      <t>ヒヨウ</t>
    </rPh>
    <phoneticPr fontId="5"/>
  </si>
  <si>
    <t>Ｃ 安全管理要員</t>
    <rPh sb="2" eb="4">
      <t>アンゼン</t>
    </rPh>
    <rPh sb="4" eb="6">
      <t>カンリ</t>
    </rPh>
    <rPh sb="6" eb="8">
      <t>ヨウイン</t>
    </rPh>
    <phoneticPr fontId="5"/>
  </si>
  <si>
    <t>NTT防護管設置費用</t>
    <rPh sb="3" eb="5">
      <t>ボウゴ</t>
    </rPh>
    <rPh sb="5" eb="6">
      <t>カン</t>
    </rPh>
    <rPh sb="6" eb="8">
      <t>セッチ</t>
    </rPh>
    <rPh sb="8" eb="10">
      <t>ヒヨウ</t>
    </rPh>
    <phoneticPr fontId="3"/>
  </si>
  <si>
    <t>快適トイレ</t>
    <rPh sb="0" eb="2">
      <t>カイテキ</t>
    </rPh>
    <phoneticPr fontId="5"/>
  </si>
  <si>
    <t>情報共有システム</t>
    <rPh sb="0" eb="2">
      <t>ジョウホウ</t>
    </rPh>
    <rPh sb="2" eb="4">
      <t>キョウユウ</t>
    </rPh>
    <phoneticPr fontId="5"/>
  </si>
  <si>
    <t>情報共有システム使用の有無</t>
    <rPh sb="0" eb="2">
      <t>ジョウホウ</t>
    </rPh>
    <rPh sb="2" eb="4">
      <t>キョウユウ</t>
    </rPh>
    <rPh sb="8" eb="10">
      <t>シヨウ</t>
    </rPh>
    <rPh sb="11" eb="13">
      <t>ウム</t>
    </rPh>
    <phoneticPr fontId="5"/>
  </si>
  <si>
    <t>Ⅶ</t>
    <phoneticPr fontId="5"/>
  </si>
  <si>
    <t>施工地域（20170926更新）</t>
    <rPh sb="0" eb="2">
      <t>セコウ</t>
    </rPh>
    <rPh sb="2" eb="4">
      <t>チイキ</t>
    </rPh>
    <rPh sb="13" eb="15">
      <t>コウシン</t>
    </rPh>
    <phoneticPr fontId="5"/>
  </si>
  <si>
    <t>中核市</t>
    <rPh sb="0" eb="2">
      <t>チュウカク</t>
    </rPh>
    <rPh sb="2" eb="3">
      <t>シ</t>
    </rPh>
    <phoneticPr fontId="6"/>
  </si>
  <si>
    <t>特例市</t>
    <rPh sb="0" eb="2">
      <t>トクレイ</t>
    </rPh>
    <rPh sb="2" eb="3">
      <t>シ</t>
    </rPh>
    <phoneticPr fontId="6"/>
  </si>
  <si>
    <t>36市</t>
    <rPh sb="2" eb="3">
      <t>シ</t>
    </rPh>
    <phoneticPr fontId="6"/>
  </si>
  <si>
    <t>島根県</t>
    <rPh sb="0" eb="3">
      <t>シマネケン</t>
    </rPh>
    <phoneticPr fontId="6"/>
  </si>
  <si>
    <t>佐賀県</t>
    <rPh sb="0" eb="3">
      <t>サガケン</t>
    </rPh>
    <phoneticPr fontId="6"/>
  </si>
  <si>
    <t>その他</t>
    <rPh sb="2" eb="3">
      <t>タ</t>
    </rPh>
    <phoneticPr fontId="6"/>
  </si>
  <si>
    <t>見積り活用</t>
    <rPh sb="0" eb="2">
      <t>ミツモリ</t>
    </rPh>
    <rPh sb="3" eb="5">
      <t>カツヨウ</t>
    </rPh>
    <phoneticPr fontId="5"/>
  </si>
  <si>
    <t>間接費実績変更</t>
    <rPh sb="0" eb="2">
      <t>カンセツ</t>
    </rPh>
    <rPh sb="2" eb="3">
      <t>ヒ</t>
    </rPh>
    <rPh sb="3" eb="5">
      <t>ジッセキ</t>
    </rPh>
    <rPh sb="5" eb="7">
      <t>ヘンコウ</t>
    </rPh>
    <phoneticPr fontId="5"/>
  </si>
  <si>
    <t>地域外からの労働者確保に要する間接費の設計変更</t>
    <rPh sb="0" eb="2">
      <t>チイキ</t>
    </rPh>
    <rPh sb="2" eb="3">
      <t>ガイ</t>
    </rPh>
    <rPh sb="6" eb="9">
      <t>ロウドウシャ</t>
    </rPh>
    <rPh sb="9" eb="11">
      <t>カクホ</t>
    </rPh>
    <rPh sb="12" eb="13">
      <t>ヨウ</t>
    </rPh>
    <rPh sb="15" eb="17">
      <t>カンセツ</t>
    </rPh>
    <rPh sb="17" eb="18">
      <t>ヒ</t>
    </rPh>
    <rPh sb="19" eb="21">
      <t>セッケイ</t>
    </rPh>
    <rPh sb="21" eb="23">
      <t>ヘンコウ</t>
    </rPh>
    <phoneticPr fontId="5"/>
  </si>
  <si>
    <t>日当り作業量の補正の試行</t>
    <rPh sb="0" eb="2">
      <t>ヒアタ</t>
    </rPh>
    <rPh sb="3" eb="5">
      <t>サギョウ</t>
    </rPh>
    <rPh sb="5" eb="6">
      <t>リョウ</t>
    </rPh>
    <rPh sb="7" eb="9">
      <t>ホセイ</t>
    </rPh>
    <rPh sb="10" eb="12">
      <t>シコウ</t>
    </rPh>
    <phoneticPr fontId="5"/>
  </si>
  <si>
    <t>遠隔地からの建設資材調達に係わる設計変更</t>
    <rPh sb="0" eb="3">
      <t>エンカクチ</t>
    </rPh>
    <rPh sb="6" eb="8">
      <t>ケンセツ</t>
    </rPh>
    <rPh sb="8" eb="10">
      <t>シザイ</t>
    </rPh>
    <rPh sb="10" eb="12">
      <t>チョウタツ</t>
    </rPh>
    <rPh sb="13" eb="14">
      <t>カカ</t>
    </rPh>
    <rPh sb="16" eb="18">
      <t>セッケイ</t>
    </rPh>
    <rPh sb="18" eb="20">
      <t>ヘンコウ</t>
    </rPh>
    <phoneticPr fontId="5"/>
  </si>
  <si>
    <t>東日本大震災復興補正（共通仮設）</t>
    <rPh sb="0" eb="1">
      <t>ヒガシ</t>
    </rPh>
    <rPh sb="1" eb="3">
      <t>ニホン</t>
    </rPh>
    <rPh sb="3" eb="6">
      <t>ダイシンサイ</t>
    </rPh>
    <rPh sb="6" eb="8">
      <t>フッコウ</t>
    </rPh>
    <rPh sb="8" eb="10">
      <t>ホセイ</t>
    </rPh>
    <rPh sb="11" eb="13">
      <t>キョウツウ</t>
    </rPh>
    <rPh sb="13" eb="15">
      <t>カセツ</t>
    </rPh>
    <phoneticPr fontId="5"/>
  </si>
  <si>
    <r>
      <t>1：補正有り(</t>
    </r>
    <r>
      <rPr>
        <sz val="10"/>
        <rFont val="ＭＳ Ｐゴシック"/>
        <family val="3"/>
        <charset val="128"/>
      </rPr>
      <t>×1.5)</t>
    </r>
    <rPh sb="2" eb="4">
      <t>ホセイ</t>
    </rPh>
    <rPh sb="4" eb="5">
      <t>ア</t>
    </rPh>
    <phoneticPr fontId="53"/>
  </si>
  <si>
    <t>2：補正無し</t>
    <rPh sb="2" eb="4">
      <t>ホセイ</t>
    </rPh>
    <rPh sb="4" eb="5">
      <t>ナ</t>
    </rPh>
    <phoneticPr fontId="24"/>
  </si>
  <si>
    <t>東日本大震災復興補正（現場管理）</t>
    <rPh sb="0" eb="1">
      <t>ヒガシ</t>
    </rPh>
    <rPh sb="1" eb="3">
      <t>ニホン</t>
    </rPh>
    <rPh sb="3" eb="6">
      <t>ダイシンサイ</t>
    </rPh>
    <rPh sb="6" eb="8">
      <t>フッコウ</t>
    </rPh>
    <rPh sb="8" eb="10">
      <t>ホセイ</t>
    </rPh>
    <rPh sb="11" eb="13">
      <t>ゲンバ</t>
    </rPh>
    <rPh sb="13" eb="15">
      <t>カンリ</t>
    </rPh>
    <phoneticPr fontId="5"/>
  </si>
  <si>
    <r>
      <t>1：補正有り(</t>
    </r>
    <r>
      <rPr>
        <sz val="10"/>
        <rFont val="ＭＳ Ｐゴシック"/>
        <family val="3"/>
        <charset val="128"/>
      </rPr>
      <t>×1.2)</t>
    </r>
    <rPh sb="2" eb="4">
      <t>ホセイ</t>
    </rPh>
    <rPh sb="4" eb="5">
      <t>ア</t>
    </rPh>
    <phoneticPr fontId="53"/>
  </si>
  <si>
    <t>熊本復興補正</t>
    <rPh sb="0" eb="2">
      <t>クマモト</t>
    </rPh>
    <rPh sb="2" eb="4">
      <t>フッコウ</t>
    </rPh>
    <rPh sb="4" eb="6">
      <t>ホセイ</t>
    </rPh>
    <phoneticPr fontId="5"/>
  </si>
  <si>
    <r>
      <t>1：補正有り(</t>
    </r>
    <r>
      <rPr>
        <sz val="10"/>
        <rFont val="ＭＳ Ｐゴシック"/>
        <family val="3"/>
        <charset val="128"/>
      </rPr>
      <t>×</t>
    </r>
    <r>
      <rPr>
        <sz val="10"/>
        <rFont val="ＭＳ 明朝"/>
        <family val="1"/>
        <charset val="128"/>
      </rPr>
      <t>1.1</t>
    </r>
    <r>
      <rPr>
        <sz val="10"/>
        <rFont val="ＭＳ Ｐゴシック"/>
        <family val="3"/>
        <charset val="128"/>
      </rPr>
      <t>)</t>
    </r>
    <rPh sb="2" eb="4">
      <t>ホセイ</t>
    </rPh>
    <rPh sb="4" eb="5">
      <t>ア</t>
    </rPh>
    <phoneticPr fontId="53"/>
  </si>
  <si>
    <r>
      <t>2：補正有り(</t>
    </r>
    <r>
      <rPr>
        <sz val="10"/>
        <rFont val="ＭＳ Ｐゴシック"/>
        <family val="3"/>
        <charset val="128"/>
      </rPr>
      <t>×</t>
    </r>
    <r>
      <rPr>
        <sz val="10"/>
        <rFont val="ＭＳ 明朝"/>
        <family val="1"/>
        <charset val="128"/>
      </rPr>
      <t>1.4)</t>
    </r>
    <r>
      <rPr>
        <sz val="10"/>
        <rFont val="ＭＳ Ｐゴシック"/>
        <family val="3"/>
        <charset val="128"/>
      </rPr>
      <t/>
    </r>
    <rPh sb="2" eb="4">
      <t>ホセイ</t>
    </rPh>
    <rPh sb="4" eb="5">
      <t>ア</t>
    </rPh>
    <phoneticPr fontId="53"/>
  </si>
  <si>
    <t>3：補正無し</t>
    <rPh sb="2" eb="4">
      <t>ホセイ</t>
    </rPh>
    <rPh sb="4" eb="5">
      <t>ナ</t>
    </rPh>
    <phoneticPr fontId="24"/>
  </si>
  <si>
    <t>CORINS登録番号</t>
    <rPh sb="8" eb="10">
      <t>バンゴウ</t>
    </rPh>
    <phoneticPr fontId="4"/>
  </si>
  <si>
    <t>発注年度</t>
    <rPh sb="0" eb="2">
      <t>ハッチュウ</t>
    </rPh>
    <rPh sb="2" eb="4">
      <t>ネンド</t>
    </rPh>
    <phoneticPr fontId="5"/>
  </si>
  <si>
    <t>発注年度</t>
    <rPh sb="0" eb="2">
      <t>ハッチュウ</t>
    </rPh>
    <rPh sb="2" eb="4">
      <t>ネンド</t>
    </rPh>
    <phoneticPr fontId="24"/>
  </si>
  <si>
    <t>復興係数による補正
（岩手県、宮城県、福島県）</t>
    <rPh sb="0" eb="2">
      <t>フッコウ</t>
    </rPh>
    <rPh sb="2" eb="4">
      <t>ケイスウ</t>
    </rPh>
    <rPh sb="7" eb="9">
      <t>ホセイ</t>
    </rPh>
    <rPh sb="11" eb="14">
      <t>イワテケン</t>
    </rPh>
    <rPh sb="15" eb="18">
      <t>ミヤギケン</t>
    </rPh>
    <rPh sb="19" eb="22">
      <t>フクシマケン</t>
    </rPh>
    <phoneticPr fontId="24"/>
  </si>
  <si>
    <t>復興係数による補正（熊本県）</t>
    <rPh sb="0" eb="2">
      <t>フッコウ</t>
    </rPh>
    <rPh sb="2" eb="4">
      <t>ケイスウ</t>
    </rPh>
    <rPh sb="7" eb="9">
      <t>ホセイ</t>
    </rPh>
    <rPh sb="10" eb="13">
      <t>クマモトケン</t>
    </rPh>
    <phoneticPr fontId="24"/>
  </si>
  <si>
    <t>Ⅷ</t>
  </si>
  <si>
    <t>施工箇所点在型積算</t>
    <rPh sb="0" eb="2">
      <t>セコウ</t>
    </rPh>
    <rPh sb="2" eb="4">
      <t>カショ</t>
    </rPh>
    <rPh sb="4" eb="7">
      <t>テンザイガタ</t>
    </rPh>
    <rPh sb="7" eb="9">
      <t>セキサン</t>
    </rPh>
    <phoneticPr fontId="5"/>
  </si>
  <si>
    <t>施工箇所点在型積算の適用</t>
    <rPh sb="0" eb="2">
      <t>セコウ</t>
    </rPh>
    <rPh sb="2" eb="4">
      <t>カショ</t>
    </rPh>
    <rPh sb="4" eb="7">
      <t>テンザイガタ</t>
    </rPh>
    <rPh sb="7" eb="9">
      <t>セキサン</t>
    </rPh>
    <rPh sb="10" eb="12">
      <t>テキヨウ</t>
    </rPh>
    <phoneticPr fontId="5"/>
  </si>
  <si>
    <t>Ⅸ</t>
    <phoneticPr fontId="5"/>
  </si>
  <si>
    <t>*千円単位で入力し、千円未満は四捨五入すること。</t>
    <rPh sb="1" eb="3">
      <t>センエン</t>
    </rPh>
    <rPh sb="3" eb="5">
      <t>タンイ</t>
    </rPh>
    <rPh sb="6" eb="8">
      <t>ニュウリョク</t>
    </rPh>
    <rPh sb="10" eb="12">
      <t>センエン</t>
    </rPh>
    <rPh sb="12" eb="14">
      <t>ミマン</t>
    </rPh>
    <rPh sb="15" eb="19">
      <t>シシャゴニュウ</t>
    </rPh>
    <phoneticPr fontId="5"/>
  </si>
  <si>
    <t>大都市等の補正、
施工地域の補正</t>
    <rPh sb="0" eb="3">
      <t>ダイトシ</t>
    </rPh>
    <rPh sb="3" eb="4">
      <t>トウ</t>
    </rPh>
    <rPh sb="5" eb="7">
      <t>ホセイ</t>
    </rPh>
    <rPh sb="9" eb="11">
      <t>セコウ</t>
    </rPh>
    <rPh sb="11" eb="13">
      <t>チイキ</t>
    </rPh>
    <rPh sb="14" eb="16">
      <t>ホセイ</t>
    </rPh>
    <phoneticPr fontId="5"/>
  </si>
  <si>
    <t>1 : 大都市（×1.3）</t>
  </si>
  <si>
    <t>2 : 市街地（×1.3）</t>
  </si>
  <si>
    <t xml:space="preserve">4 : 山間僻地及び離島（1.0％） </t>
  </si>
  <si>
    <t>5 :  地方部（一般交通等の影響を受ける場合）（1.5％）</t>
  </si>
  <si>
    <t>6 :  地方部（一般交通等の影響を受けない場合）（0.0％）</t>
  </si>
  <si>
    <t>1 : 大都市（×1.4）</t>
  </si>
  <si>
    <t>2 : 市街地（×1.2）</t>
  </si>
  <si>
    <t>3 : 市街地（1.5.％）</t>
  </si>
  <si>
    <t xml:space="preserve">4 : 山間僻地及び離島（0.5％） </t>
  </si>
  <si>
    <t>5 :  地方部（一般交通等の影響を受ける場合）（1.0％）</t>
  </si>
  <si>
    <t>ver.</t>
    <phoneticPr fontId="5"/>
  </si>
  <si>
    <t>福島市</t>
    <rPh sb="0" eb="2">
      <t>フクシマ</t>
    </rPh>
    <phoneticPr fontId="3"/>
  </si>
  <si>
    <t>072010</t>
  </si>
  <si>
    <t>川口市</t>
    <rPh sb="0" eb="2">
      <t>カワグチ</t>
    </rPh>
    <phoneticPr fontId="3"/>
  </si>
  <si>
    <t>東京都</t>
    <rPh sb="0" eb="3">
      <t>トウキョウト</t>
    </rPh>
    <phoneticPr fontId="4"/>
  </si>
  <si>
    <t>八尾市</t>
    <rPh sb="0" eb="2">
      <t>ヤオ</t>
    </rPh>
    <phoneticPr fontId="3"/>
  </si>
  <si>
    <t>鳥取県</t>
    <rPh sb="0" eb="3">
      <t>トットリケン</t>
    </rPh>
    <phoneticPr fontId="3"/>
  </si>
  <si>
    <t>鳥取市</t>
    <rPh sb="0" eb="3">
      <t>トットリシ</t>
    </rPh>
    <phoneticPr fontId="3"/>
  </si>
  <si>
    <t>島根県</t>
    <rPh sb="0" eb="2">
      <t>シマネ</t>
    </rPh>
    <rPh sb="2" eb="3">
      <t>ケン</t>
    </rPh>
    <phoneticPr fontId="3"/>
  </si>
  <si>
    <t>松江市</t>
    <rPh sb="0" eb="2">
      <t>マツエ</t>
    </rPh>
    <rPh sb="2" eb="3">
      <t>シ</t>
    </rPh>
    <phoneticPr fontId="3"/>
  </si>
  <si>
    <t>沖縄県</t>
    <rPh sb="0" eb="3">
      <t>オキナワケン</t>
    </rPh>
    <phoneticPr fontId="4"/>
  </si>
  <si>
    <t>54市</t>
    <rPh sb="2" eb="3">
      <t>シ</t>
    </rPh>
    <phoneticPr fontId="6"/>
  </si>
  <si>
    <r>
      <t>自動計算値と一致していません。
「直接工事費」、「支給</t>
    </r>
    <r>
      <rPr>
        <sz val="10"/>
        <color rgb="FFFF0000"/>
        <rFont val="ＭＳ Ｐゴシック"/>
        <family val="3"/>
        <charset val="128"/>
      </rPr>
      <t>品</t>
    </r>
    <r>
      <rPr>
        <sz val="10"/>
        <rFont val="ＭＳ Ｐゴシック"/>
        <family val="3"/>
        <charset val="128"/>
      </rPr>
      <t>費」、「無償貸与機械等評価額」、「事業損失防止施設費」、「準備費中の処分費」、「共通仮設費非対象金額」の入力金額に間違いがないか確認してください。</t>
    </r>
    <rPh sb="0" eb="2">
      <t>ジドウ</t>
    </rPh>
    <rPh sb="2" eb="5">
      <t>ケイサンチ</t>
    </rPh>
    <rPh sb="6" eb="8">
      <t>イッチ</t>
    </rPh>
    <rPh sb="27" eb="28">
      <t>ヒン</t>
    </rPh>
    <rPh sb="77" eb="78">
      <t>ガク</t>
    </rPh>
    <rPh sb="80" eb="82">
      <t>ニュウリョク</t>
    </rPh>
    <rPh sb="82" eb="84">
      <t>キンガク</t>
    </rPh>
    <rPh sb="85" eb="87">
      <t>マチガ</t>
    </rPh>
    <rPh sb="92" eb="94">
      <t>カクニン</t>
    </rPh>
    <phoneticPr fontId="5"/>
  </si>
  <si>
    <r>
      <t>　(２)支給</t>
    </r>
    <r>
      <rPr>
        <sz val="10"/>
        <color rgb="FFFF0000"/>
        <rFont val="ＭＳ Ｐゴシック"/>
        <family val="3"/>
        <charset val="128"/>
      </rPr>
      <t>品</t>
    </r>
    <r>
      <rPr>
        <sz val="10"/>
        <rFont val="ＭＳ Ｐゴシック"/>
        <family val="3"/>
        <charset val="128"/>
      </rPr>
      <t>費</t>
    </r>
    <rPh sb="4" eb="6">
      <t>シキュウ</t>
    </rPh>
    <rPh sb="6" eb="7">
      <t>ヒン</t>
    </rPh>
    <rPh sb="7" eb="8">
      <t>ヒ</t>
    </rPh>
    <phoneticPr fontId="5"/>
  </si>
  <si>
    <t>交通誘導警備員A</t>
    <rPh sb="0" eb="2">
      <t>コウツウ</t>
    </rPh>
    <rPh sb="2" eb="4">
      <t>ユウドウ</t>
    </rPh>
    <rPh sb="4" eb="7">
      <t>ケイビイン</t>
    </rPh>
    <phoneticPr fontId="4"/>
  </si>
  <si>
    <t>交通誘導警備員B</t>
    <rPh sb="0" eb="2">
      <t>コウツウ</t>
    </rPh>
    <rPh sb="2" eb="4">
      <t>ユウドウ</t>
    </rPh>
    <rPh sb="4" eb="7">
      <t>ケイビイン</t>
    </rPh>
    <phoneticPr fontId="4"/>
  </si>
  <si>
    <t>２)</t>
  </si>
  <si>
    <t>※労務費の内数</t>
    <rPh sb="1" eb="3">
      <t>ロウム</t>
    </rPh>
    <rPh sb="3" eb="4">
      <t>ヒ</t>
    </rPh>
    <rPh sb="5" eb="6">
      <t>ウチ</t>
    </rPh>
    <rPh sb="6" eb="7">
      <t>スウ</t>
    </rPh>
    <phoneticPr fontId="4"/>
  </si>
  <si>
    <t>費目</t>
    <rPh sb="0" eb="2">
      <t>ヒモク</t>
    </rPh>
    <phoneticPr fontId="5"/>
  </si>
  <si>
    <t>出力先DBファイル</t>
    <rPh sb="0" eb="2">
      <t>シュツリョク</t>
    </rPh>
    <rPh sb="2" eb="3">
      <t>サキ</t>
    </rPh>
    <phoneticPr fontId="5"/>
  </si>
  <si>
    <t>調査票</t>
    <rPh sb="0" eb="3">
      <t>チョウサヒョウ</t>
    </rPh>
    <phoneticPr fontId="5"/>
  </si>
  <si>
    <t>シート名</t>
    <rPh sb="3" eb="4">
      <t>メイ</t>
    </rPh>
    <phoneticPr fontId="5"/>
  </si>
  <si>
    <t>行</t>
    <rPh sb="0" eb="1">
      <t>ギョウ</t>
    </rPh>
    <phoneticPr fontId="5"/>
  </si>
  <si>
    <t>列</t>
    <rPh sb="0" eb="1">
      <t>レツ</t>
    </rPh>
    <phoneticPr fontId="5"/>
  </si>
  <si>
    <t>cell番地</t>
    <rPh sb="4" eb="6">
      <t>バンチ</t>
    </rPh>
    <phoneticPr fontId="5"/>
  </si>
  <si>
    <t>①直接工事費</t>
  </si>
  <si>
    <t>　(１)材料費</t>
  </si>
  <si>
    <t>　(３)労務費</t>
  </si>
  <si>
    <t>　(５)無償貸付機械等評価額</t>
  </si>
  <si>
    <t>　(６)市場単価</t>
  </si>
  <si>
    <t>チェック</t>
    <phoneticPr fontId="5"/>
  </si>
  <si>
    <t>　（３）現場管理費</t>
  </si>
  <si>
    <t>　（５）工事一時中止に伴う増加費用
　　　　（率項目+積上げ項目）</t>
    <rPh sb="4" eb="6">
      <t>コウジ</t>
    </rPh>
    <rPh sb="6" eb="8">
      <t>イチジ</t>
    </rPh>
    <rPh sb="8" eb="10">
      <t>チュウシ</t>
    </rPh>
    <rPh sb="11" eb="12">
      <t>トモナ</t>
    </rPh>
    <rPh sb="13" eb="15">
      <t>ゾウカ</t>
    </rPh>
    <rPh sb="15" eb="17">
      <t>ヒヨウ</t>
    </rPh>
    <phoneticPr fontId="7"/>
  </si>
  <si>
    <t>④鋼橋等工場製作費
(電気通信設備工事の場合は、機器単体費)</t>
    <phoneticPr fontId="5"/>
  </si>
  <si>
    <t>⑤別途調査等工事価格</t>
  </si>
  <si>
    <t>仮設材①</t>
  </si>
  <si>
    <t>仮設材②</t>
  </si>
  <si>
    <t>仮設材③</t>
  </si>
  <si>
    <t>敷鉄板①</t>
  </si>
  <si>
    <t>敷鉄板②</t>
  </si>
  <si>
    <t>敷鉄板③</t>
  </si>
  <si>
    <t>敷鉄板④</t>
  </si>
  <si>
    <t>橋梁等架設支保工</t>
  </si>
  <si>
    <t>橋梁用架設タワー等</t>
  </si>
  <si>
    <t>橋梁用仮設桁設備</t>
  </si>
  <si>
    <t>積み込み取り卸し費</t>
  </si>
  <si>
    <t>トンネル用スライドセントル</t>
  </si>
  <si>
    <t>その他②</t>
  </si>
  <si>
    <t>貨物自動車等による運搬</t>
  </si>
  <si>
    <t>自走 による運搬</t>
  </si>
  <si>
    <t>日々回送による運搬</t>
  </si>
  <si>
    <t>建設機械Ⅱ</t>
  </si>
  <si>
    <t>貨物自動車等 による運搬</t>
  </si>
  <si>
    <t>準備・測量等</t>
  </si>
  <si>
    <t>事業損失防止施設費</t>
  </si>
  <si>
    <t>安全管理費</t>
  </si>
  <si>
    <t>①工事区域内全般の安全管理</t>
  </si>
  <si>
    <t>②不稼働日の保安要員</t>
  </si>
  <si>
    <t>③安全施設類の設置、撤去、補修</t>
  </si>
  <si>
    <t>④夜間照明</t>
  </si>
  <si>
    <t>⑤酸素欠乏症の予防</t>
  </si>
  <si>
    <t>⑥河川、海岸工事における救命艇</t>
  </si>
  <si>
    <t>⑦粉塵作業の予防</t>
  </si>
  <si>
    <t>⑧長大トンネル防火安全対策</t>
  </si>
  <si>
    <t>⑨安全用品</t>
  </si>
  <si>
    <t>⑩安全委員会</t>
  </si>
  <si>
    <t>⑪再圧装置設置、撤去、維持管理</t>
    <phoneticPr fontId="5"/>
  </si>
  <si>
    <t>鉄道空港安全管理</t>
    <rPh sb="2" eb="4">
      <t>クウコウ</t>
    </rPh>
    <phoneticPr fontId="7"/>
  </si>
  <si>
    <t>高圧作業予防</t>
  </si>
  <si>
    <t>NTT防護管設置費用</t>
    <rPh sb="3" eb="5">
      <t>ボウゴ</t>
    </rPh>
    <rPh sb="5" eb="6">
      <t>カン</t>
    </rPh>
    <rPh sb="6" eb="8">
      <t>セッチ</t>
    </rPh>
    <rPh sb="8" eb="10">
      <t>ヒヨウ</t>
    </rPh>
    <phoneticPr fontId="16"/>
  </si>
  <si>
    <t>電力線防護管設置費用</t>
    <rPh sb="0" eb="2">
      <t>デンリョク</t>
    </rPh>
    <rPh sb="2" eb="3">
      <t>セン</t>
    </rPh>
    <rPh sb="3" eb="5">
      <t>ボウゴ</t>
    </rPh>
    <rPh sb="5" eb="6">
      <t>カン</t>
    </rPh>
    <rPh sb="6" eb="8">
      <t>セッチ</t>
    </rPh>
    <rPh sb="8" eb="10">
      <t>ヒヨウ</t>
    </rPh>
    <phoneticPr fontId="16"/>
  </si>
  <si>
    <t>道路管理者との協議により設置する安全施設（仮設信号機等）に係る費用</t>
  </si>
  <si>
    <t>防護衣（防護ズボンまたはチャップス）</t>
  </si>
  <si>
    <t>その他</t>
    <rPh sb="2" eb="3">
      <t>タ</t>
    </rPh>
    <phoneticPr fontId="7"/>
  </si>
  <si>
    <t>土地の借上費</t>
  </si>
  <si>
    <t>電力用水等基本料</t>
  </si>
  <si>
    <t>品質管理費等</t>
  </si>
  <si>
    <t>特別な品質管理</t>
  </si>
  <si>
    <t>現場条件等費用</t>
  </si>
  <si>
    <t>各種調査等</t>
  </si>
  <si>
    <t>各種台帳等</t>
  </si>
  <si>
    <t>建物費</t>
  </si>
  <si>
    <t>借上費</t>
  </si>
  <si>
    <t>宿泊費</t>
  </si>
  <si>
    <t>監督員詰所等</t>
  </si>
  <si>
    <t>現場環境改善費</t>
    <rPh sb="0" eb="2">
      <t>ゲンバ</t>
    </rPh>
    <rPh sb="2" eb="4">
      <t>カンキョウ</t>
    </rPh>
    <rPh sb="4" eb="6">
      <t>カイゼン</t>
    </rPh>
    <phoneticPr fontId="5"/>
  </si>
  <si>
    <t>地域連携</t>
    <rPh sb="0" eb="2">
      <t>チイキ</t>
    </rPh>
    <rPh sb="2" eb="4">
      <t>レンケイ</t>
    </rPh>
    <phoneticPr fontId="5"/>
  </si>
  <si>
    <t>9_工事費</t>
    <rPh sb="2" eb="4">
      <t>コウジ</t>
    </rPh>
    <rPh sb="4" eb="5">
      <t>ヒ</t>
    </rPh>
    <phoneticPr fontId="5"/>
  </si>
  <si>
    <t>B</t>
  </si>
  <si>
    <t>C</t>
  </si>
  <si>
    <t>D</t>
  </si>
  <si>
    <t>E</t>
  </si>
  <si>
    <t>F</t>
  </si>
  <si>
    <t>G</t>
  </si>
  <si>
    <t>H</t>
  </si>
  <si>
    <t>I</t>
  </si>
  <si>
    <t>J</t>
  </si>
  <si>
    <t>K</t>
  </si>
  <si>
    <t>L</t>
  </si>
  <si>
    <t>M</t>
  </si>
  <si>
    <t>N</t>
  </si>
  <si>
    <t>O</t>
  </si>
  <si>
    <t>P</t>
  </si>
  <si>
    <t>Q</t>
  </si>
  <si>
    <t>R</t>
  </si>
  <si>
    <t>S</t>
  </si>
  <si>
    <t>T</t>
  </si>
  <si>
    <t>U</t>
  </si>
  <si>
    <t>V</t>
  </si>
  <si>
    <t>W</t>
  </si>
  <si>
    <t>X</t>
  </si>
  <si>
    <t>Y</t>
  </si>
  <si>
    <t>Z</t>
  </si>
  <si>
    <t>復興補正（熊本）</t>
    <rPh sb="0" eb="2">
      <t>フッコウ</t>
    </rPh>
    <rPh sb="2" eb="4">
      <t>ホセイ</t>
    </rPh>
    <rPh sb="5" eb="7">
      <t>クマモト</t>
    </rPh>
    <phoneticPr fontId="5"/>
  </si>
  <si>
    <t>航空</t>
    <rPh sb="0" eb="2">
      <t>コウクウ</t>
    </rPh>
    <phoneticPr fontId="5"/>
  </si>
  <si>
    <t>補正係数、補正率</t>
    <rPh sb="0" eb="2">
      <t>ホセイ</t>
    </rPh>
    <rPh sb="2" eb="4">
      <t>ケイスウ</t>
    </rPh>
    <rPh sb="5" eb="7">
      <t>ホセイ</t>
    </rPh>
    <rPh sb="7" eb="8">
      <t>リツ</t>
    </rPh>
    <phoneticPr fontId="5"/>
  </si>
  <si>
    <r>
      <t>地域補正（</t>
    </r>
    <r>
      <rPr>
        <sz val="9.9"/>
        <color rgb="FFFF0000"/>
        <rFont val="ＭＳ Ｐゴシック"/>
        <family val="3"/>
        <charset val="128"/>
      </rPr>
      <t>航空</t>
    </r>
    <r>
      <rPr>
        <sz val="11"/>
        <rFont val="ＭＳ Ｐゴシック"/>
        <family val="3"/>
        <charset val="128"/>
      </rPr>
      <t>）</t>
    </r>
    <rPh sb="0" eb="2">
      <t>チイキ</t>
    </rPh>
    <rPh sb="2" eb="4">
      <t>ホセイ</t>
    </rPh>
    <rPh sb="5" eb="7">
      <t>コウクウ</t>
    </rPh>
    <phoneticPr fontId="5"/>
  </si>
  <si>
    <t>3 : 市街地（2.0％）</t>
    <phoneticPr fontId="5"/>
  </si>
  <si>
    <t>⑧安全委員会</t>
    <phoneticPr fontId="5"/>
  </si>
  <si>
    <t>⑨再圧装置設置、撤去、維持管理</t>
    <phoneticPr fontId="5"/>
  </si>
  <si>
    <t>共通仮設費 (現場環境改善費除く)</t>
    <rPh sb="7" eb="9">
      <t>ゲンバ</t>
    </rPh>
    <rPh sb="9" eb="11">
      <t>カンキョウ</t>
    </rPh>
    <rPh sb="11" eb="13">
      <t>カイゼン</t>
    </rPh>
    <phoneticPr fontId="5"/>
  </si>
  <si>
    <t>　　３）現場環境改善費（率分+積上げ）</t>
    <rPh sb="4" eb="6">
      <t>ゲンバ</t>
    </rPh>
    <rPh sb="6" eb="8">
      <t>カンキョウ</t>
    </rPh>
    <rPh sb="8" eb="10">
      <t>カイゼン</t>
    </rPh>
    <rPh sb="10" eb="11">
      <t>ヒ</t>
    </rPh>
    <rPh sb="12" eb="13">
      <t>リツ</t>
    </rPh>
    <rPh sb="13" eb="14">
      <t>ブン</t>
    </rPh>
    <rPh sb="15" eb="17">
      <t>ツミア</t>
    </rPh>
    <phoneticPr fontId="5"/>
  </si>
  <si>
    <t>支給品費</t>
    <rPh sb="2" eb="3">
      <t>ヒン</t>
    </rPh>
    <phoneticPr fontId="4"/>
  </si>
  <si>
    <t>現場環境改善費の率分</t>
    <phoneticPr fontId="4"/>
  </si>
  <si>
    <t>現場環境改善費の積上分</t>
    <phoneticPr fontId="4"/>
  </si>
  <si>
    <t>　(２)支給品費</t>
    <rPh sb="4" eb="6">
      <t>シキュウ</t>
    </rPh>
    <rPh sb="6" eb="7">
      <t>ヒン</t>
    </rPh>
    <rPh sb="7" eb="8">
      <t>ヒ</t>
    </rPh>
    <phoneticPr fontId="5"/>
  </si>
  <si>
    <t>　　「共通仮設費積算対象金額」自動計算値＝「直接工事費」+「支給品費」+「無償貸与機械等評価額」+「事業損失防止施設費」</t>
    <rPh sb="15" eb="17">
      <t>ジドウ</t>
    </rPh>
    <rPh sb="17" eb="20">
      <t>ケイサンチ</t>
    </rPh>
    <rPh sb="32" eb="33">
      <t>ヒン</t>
    </rPh>
    <phoneticPr fontId="5"/>
  </si>
  <si>
    <t>整　理　番　号</t>
    <rPh sb="0" eb="1">
      <t>ヒトシ</t>
    </rPh>
    <rPh sb="2" eb="3">
      <t>リ</t>
    </rPh>
    <rPh sb="4" eb="5">
      <t>バン</t>
    </rPh>
    <rPh sb="6" eb="7">
      <t>ゴウ</t>
    </rPh>
    <phoneticPr fontId="4"/>
  </si>
  <si>
    <t>復興係数による補正（広島県）</t>
    <rPh sb="0" eb="2">
      <t>フッコウ</t>
    </rPh>
    <rPh sb="2" eb="4">
      <t>ケイスウ</t>
    </rPh>
    <rPh sb="7" eb="9">
      <t>ホセイ</t>
    </rPh>
    <rPh sb="10" eb="13">
      <t>ヒロシマケン</t>
    </rPh>
    <phoneticPr fontId="24"/>
  </si>
  <si>
    <t>熱中症対策に資する現場管理費の補正の試行による補正</t>
    <rPh sb="0" eb="2">
      <t>ネッチュウ</t>
    </rPh>
    <rPh sb="2" eb="3">
      <t>ショウ</t>
    </rPh>
    <rPh sb="3" eb="5">
      <t>タイサク</t>
    </rPh>
    <rPh sb="6" eb="7">
      <t>シ</t>
    </rPh>
    <rPh sb="9" eb="11">
      <t>ゲンバ</t>
    </rPh>
    <rPh sb="11" eb="14">
      <t>カンリヒ</t>
    </rPh>
    <rPh sb="15" eb="17">
      <t>ホセイ</t>
    </rPh>
    <rPh sb="18" eb="20">
      <t>シコウ</t>
    </rPh>
    <rPh sb="23" eb="25">
      <t>ホセイ</t>
    </rPh>
    <phoneticPr fontId="4"/>
  </si>
  <si>
    <t>交通量調査基本区間番号（センサス番号）11桁</t>
    <rPh sb="0" eb="2">
      <t>コウツウ</t>
    </rPh>
    <rPh sb="2" eb="3">
      <t>リョウ</t>
    </rPh>
    <rPh sb="3" eb="5">
      <t>チョウサ</t>
    </rPh>
    <rPh sb="5" eb="7">
      <t>キホン</t>
    </rPh>
    <rPh sb="7" eb="9">
      <t>クカン</t>
    </rPh>
    <rPh sb="9" eb="11">
      <t>バンゴウ</t>
    </rPh>
    <rPh sb="16" eb="18">
      <t>バンゴウ</t>
    </rPh>
    <rPh sb="21" eb="22">
      <t>ケタ</t>
    </rPh>
    <phoneticPr fontId="5"/>
  </si>
  <si>
    <t>熱中症対策に資する現場管理費の補正の試行による補正割増しを行った。</t>
    <rPh sb="0" eb="2">
      <t>ネッチュウ</t>
    </rPh>
    <rPh sb="2" eb="3">
      <t>ショウ</t>
    </rPh>
    <rPh sb="3" eb="5">
      <t>タイサク</t>
    </rPh>
    <rPh sb="6" eb="7">
      <t>シ</t>
    </rPh>
    <rPh sb="9" eb="11">
      <t>ゲンバ</t>
    </rPh>
    <rPh sb="11" eb="14">
      <t>カンリヒ</t>
    </rPh>
    <rPh sb="15" eb="17">
      <t>ホセイ</t>
    </rPh>
    <rPh sb="18" eb="20">
      <t>シコウ</t>
    </rPh>
    <rPh sb="23" eb="25">
      <t>ホセイ</t>
    </rPh>
    <rPh sb="25" eb="26">
      <t>ワ</t>
    </rPh>
    <rPh sb="26" eb="27">
      <t>マ</t>
    </rPh>
    <rPh sb="29" eb="30">
      <t>オコナ</t>
    </rPh>
    <phoneticPr fontId="5"/>
  </si>
  <si>
    <t>「補正有り」の場合：工期期間中の真夏日</t>
    <rPh sb="10" eb="12">
      <t>コウキ</t>
    </rPh>
    <rPh sb="12" eb="15">
      <t>キカンチュウ</t>
    </rPh>
    <rPh sb="16" eb="19">
      <t>マナツビ</t>
    </rPh>
    <phoneticPr fontId="6"/>
  </si>
  <si>
    <t>「補正有り」の場合：工期期間日数</t>
    <rPh sb="10" eb="12">
      <t>コウキ</t>
    </rPh>
    <rPh sb="12" eb="14">
      <t>キカン</t>
    </rPh>
    <rPh sb="14" eb="16">
      <t>ニッスウ</t>
    </rPh>
    <phoneticPr fontId="6"/>
  </si>
  <si>
    <t>　② シート：『元請調査票データ』に元請の調査データを貼り付けて下さい。</t>
    <rPh sb="8" eb="10">
      <t>モトウケ</t>
    </rPh>
    <rPh sb="10" eb="13">
      <t>チョウサヒョウ</t>
    </rPh>
    <rPh sb="18" eb="20">
      <t>モトウケ</t>
    </rPh>
    <rPh sb="21" eb="23">
      <t>チョウサ</t>
    </rPh>
    <rPh sb="27" eb="28">
      <t>ハ</t>
    </rPh>
    <rPh sb="29" eb="30">
      <t>ツ</t>
    </rPh>
    <rPh sb="32" eb="33">
      <t>クダ</t>
    </rPh>
    <phoneticPr fontId="5"/>
  </si>
  <si>
    <t>チェック</t>
  </si>
  <si>
    <t>9_工事費</t>
    <rPh sb="2" eb="5">
      <t>コウジヒ</t>
    </rPh>
    <phoneticPr fontId="5"/>
  </si>
  <si>
    <t>元請実績額</t>
    <rPh sb="0" eb="2">
      <t>モトウケ</t>
    </rPh>
    <phoneticPr fontId="5"/>
  </si>
  <si>
    <t>労務費等</t>
    <rPh sb="3" eb="4">
      <t>トウ</t>
    </rPh>
    <phoneticPr fontId="5"/>
  </si>
  <si>
    <t>イ</t>
  </si>
  <si>
    <t>ロ</t>
    <phoneticPr fontId="5"/>
  </si>
  <si>
    <t>交通誘導警備員A</t>
    <rPh sb="0" eb="2">
      <t>コウツウ</t>
    </rPh>
    <rPh sb="2" eb="4">
      <t>ユウドウ</t>
    </rPh>
    <rPh sb="4" eb="7">
      <t>ケイビイン</t>
    </rPh>
    <phoneticPr fontId="5"/>
  </si>
  <si>
    <t>交通誘導警備員B</t>
    <rPh sb="0" eb="2">
      <t>コウツウ</t>
    </rPh>
    <rPh sb="2" eb="4">
      <t>ユウドウ</t>
    </rPh>
    <rPh sb="4" eb="7">
      <t>ケイビイン</t>
    </rPh>
    <phoneticPr fontId="5"/>
  </si>
  <si>
    <t>機械機具等損料</t>
  </si>
  <si>
    <t>貸与機械等現場修理・管理費(官貸与)</t>
    <rPh sb="14" eb="15">
      <t>カン</t>
    </rPh>
    <rPh sb="15" eb="17">
      <t>タイヨ</t>
    </rPh>
    <phoneticPr fontId="5"/>
  </si>
  <si>
    <t>直接経費</t>
    <phoneticPr fontId="5"/>
  </si>
  <si>
    <t>イ</t>
    <phoneticPr fontId="5"/>
  </si>
  <si>
    <t>特許使用料</t>
  </si>
  <si>
    <t>光熱電力使用料</t>
  </si>
  <si>
    <t>特殊経費</t>
    <phoneticPr fontId="5"/>
  </si>
  <si>
    <t>処分費</t>
    <rPh sb="0" eb="3">
      <t>ショブンヒ</t>
    </rPh>
    <phoneticPr fontId="5"/>
  </si>
  <si>
    <t>上・下水道料金</t>
    <rPh sb="0" eb="1">
      <t>ジョウ</t>
    </rPh>
    <rPh sb="2" eb="5">
      <t>ゲスイドウ</t>
    </rPh>
    <rPh sb="5" eb="7">
      <t>リョウキン</t>
    </rPh>
    <phoneticPr fontId="5"/>
  </si>
  <si>
    <t>有料道路利用料</t>
    <rPh sb="0" eb="2">
      <t>ユウリョウ</t>
    </rPh>
    <rPh sb="2" eb="4">
      <t>ドウロ</t>
    </rPh>
    <rPh sb="4" eb="7">
      <t>リヨウリョウ</t>
    </rPh>
    <phoneticPr fontId="5"/>
  </si>
  <si>
    <t>間接工事費</t>
    <phoneticPr fontId="5"/>
  </si>
  <si>
    <t>共通仮設費</t>
    <phoneticPr fontId="5"/>
  </si>
  <si>
    <t>Ａ</t>
  </si>
  <si>
    <t>機器材</t>
    <rPh sb="0" eb="1">
      <t>キキ</t>
    </rPh>
    <rPh sb="2" eb="3">
      <t>ザイ</t>
    </rPh>
    <phoneticPr fontId="5"/>
  </si>
  <si>
    <t>Ｂ</t>
    <phoneticPr fontId="5"/>
  </si>
  <si>
    <t>1)</t>
    <phoneticPr fontId="5"/>
  </si>
  <si>
    <t>2)</t>
    <phoneticPr fontId="5"/>
  </si>
  <si>
    <t>3)</t>
    <phoneticPr fontId="5"/>
  </si>
  <si>
    <t>4)</t>
    <phoneticPr fontId="5"/>
  </si>
  <si>
    <t>Ｃ</t>
    <phoneticPr fontId="5"/>
  </si>
  <si>
    <t>Ｂ</t>
  </si>
  <si>
    <t>ハ</t>
  </si>
  <si>
    <t>安全留意度
「建設工事公衆災害防止対策要綱」について選択</t>
    <rPh sb="26" eb="28">
      <t>センタク</t>
    </rPh>
    <phoneticPr fontId="5"/>
  </si>
  <si>
    <t>Ａ</t>
    <phoneticPr fontId="5"/>
  </si>
  <si>
    <t>工事区域内全般の安全管理上の監視、あるいは連絡等に要した費用</t>
    <rPh sb="2" eb="3">
      <t>ク</t>
    </rPh>
    <phoneticPr fontId="5"/>
  </si>
  <si>
    <t>不稼働日の保安要員等の費用</t>
  </si>
  <si>
    <t>夜間工事その他、照明が必要な作業を行う場合における照明に要した費用</t>
    <phoneticPr fontId="5"/>
  </si>
  <si>
    <t>5)</t>
    <phoneticPr fontId="5"/>
  </si>
  <si>
    <t>酸素欠乏症の予防に要した費用</t>
    <phoneticPr fontId="5"/>
  </si>
  <si>
    <t>6)</t>
    <phoneticPr fontId="5"/>
  </si>
  <si>
    <t>7)</t>
    <phoneticPr fontId="5"/>
  </si>
  <si>
    <t>粉塵作業の予防に要した費用</t>
    <phoneticPr fontId="5"/>
  </si>
  <si>
    <t>安全委員会等に要した費用</t>
    <phoneticPr fontId="5"/>
  </si>
  <si>
    <t>特殊な品質管理</t>
    <rPh sb="0" eb="2">
      <t>トクシュ</t>
    </rPh>
    <phoneticPr fontId="5"/>
  </si>
  <si>
    <t>Ｄ</t>
  </si>
  <si>
    <t>Ｅ</t>
  </si>
  <si>
    <t>ICT建設機械</t>
    <rPh sb="3" eb="5">
      <t>ケンセツ</t>
    </rPh>
    <rPh sb="5" eb="7">
      <t>キカイ</t>
    </rPh>
    <phoneticPr fontId="5"/>
  </si>
  <si>
    <t>Ｃ</t>
  </si>
  <si>
    <t>G</t>
    <phoneticPr fontId="5"/>
  </si>
  <si>
    <t>快適トイレ費用</t>
    <rPh sb="0" eb="2">
      <t>カイテキ</t>
    </rPh>
    <rPh sb="5" eb="7">
      <t>ヒヨウ</t>
    </rPh>
    <phoneticPr fontId="5"/>
  </si>
  <si>
    <t>チ</t>
    <phoneticPr fontId="5"/>
  </si>
  <si>
    <t>Ｄ</t>
    <phoneticPr fontId="5"/>
  </si>
  <si>
    <t>リ</t>
    <phoneticPr fontId="5"/>
  </si>
  <si>
    <t>現場管理費</t>
    <phoneticPr fontId="5"/>
  </si>
  <si>
    <t>労務管理費</t>
  </si>
  <si>
    <t>安全訓練等費用</t>
  </si>
  <si>
    <t>安全・衛生に要した費用</t>
  </si>
  <si>
    <t>研修訓練等に要した費用</t>
  </si>
  <si>
    <t>租税公課</t>
  </si>
  <si>
    <t>社員等従業員給料手当</t>
    <phoneticPr fontId="5"/>
  </si>
  <si>
    <t>退職金</t>
  </si>
  <si>
    <t>保険料</t>
  </si>
  <si>
    <t>火災保険</t>
  </si>
  <si>
    <t>工事保険</t>
  </si>
  <si>
    <t>自動車保険</t>
    <phoneticPr fontId="5"/>
  </si>
  <si>
    <t>組立保険</t>
  </si>
  <si>
    <t>その他労災保険（法定外を含む）</t>
    <rPh sb="2" eb="3">
      <t>タ</t>
    </rPh>
    <rPh sb="3" eb="5">
      <t>ロウサイ</t>
    </rPh>
    <rPh sb="5" eb="7">
      <t>ホケン</t>
    </rPh>
    <rPh sb="8" eb="10">
      <t>ホウテイ</t>
    </rPh>
    <rPh sb="10" eb="11">
      <t>ガイ</t>
    </rPh>
    <rPh sb="12" eb="13">
      <t>フク</t>
    </rPh>
    <phoneticPr fontId="5"/>
  </si>
  <si>
    <t>Ｆ</t>
  </si>
  <si>
    <t>その他損害保険</t>
    <phoneticPr fontId="5"/>
  </si>
  <si>
    <t>法定福利費</t>
    <phoneticPr fontId="5"/>
  </si>
  <si>
    <t>労災保険料</t>
  </si>
  <si>
    <t>雇用保険料</t>
  </si>
  <si>
    <r>
      <t>健康保険料</t>
    </r>
    <r>
      <rPr>
        <sz val="9"/>
        <rFont val="ＭＳ Ｐゴシック"/>
        <family val="3"/>
        <charset val="128"/>
      </rPr>
      <t>(介護保険料含む)</t>
    </r>
    <phoneticPr fontId="5"/>
  </si>
  <si>
    <r>
      <t>厚生年金保険料</t>
    </r>
    <r>
      <rPr>
        <sz val="9"/>
        <rFont val="ＭＳ Ｐゴシック"/>
        <family val="3"/>
        <charset val="128"/>
      </rPr>
      <t>(児童手当拠出金含む)</t>
    </r>
    <phoneticPr fontId="5"/>
  </si>
  <si>
    <t>建退共制度掛金</t>
  </si>
  <si>
    <t>船員保険料</t>
  </si>
  <si>
    <t>福利厚生費</t>
  </si>
  <si>
    <t>リ</t>
  </si>
  <si>
    <t>ヌ</t>
  </si>
  <si>
    <t>通信交通費</t>
  </si>
  <si>
    <t>ル</t>
  </si>
  <si>
    <t>交際費</t>
  </si>
  <si>
    <t>ヲ</t>
  </si>
  <si>
    <t>事務用品費</t>
    <rPh sb="0" eb="2">
      <t>ジム</t>
    </rPh>
    <rPh sb="2" eb="4">
      <t>ヨウヒン</t>
    </rPh>
    <rPh sb="4" eb="5">
      <t>ヒ</t>
    </rPh>
    <phoneticPr fontId="5"/>
  </si>
  <si>
    <t>ワ</t>
  </si>
  <si>
    <t>動力・用水光熱費</t>
    <phoneticPr fontId="5"/>
  </si>
  <si>
    <t>カ</t>
  </si>
  <si>
    <t>工事実績登録費</t>
    <rPh sb="2" eb="4">
      <t>ジッセキ</t>
    </rPh>
    <rPh sb="4" eb="6">
      <t>トウロク</t>
    </rPh>
    <rPh sb="6" eb="7">
      <t>ヒ</t>
    </rPh>
    <phoneticPr fontId="5"/>
  </si>
  <si>
    <t>ヨ</t>
  </si>
  <si>
    <t>公共事業労務費調査</t>
    <rPh sb="0" eb="2">
      <t>コウキョウ</t>
    </rPh>
    <rPh sb="2" eb="4">
      <t>ジギョウ</t>
    </rPh>
    <rPh sb="4" eb="7">
      <t>ロウムヒ</t>
    </rPh>
    <rPh sb="7" eb="9">
      <t>チョウサ</t>
    </rPh>
    <phoneticPr fontId="17"/>
  </si>
  <si>
    <t>タ</t>
    <phoneticPr fontId="5"/>
  </si>
  <si>
    <t>その他（天候デリバティブ費用）</t>
    <rPh sb="2" eb="3">
      <t>タ</t>
    </rPh>
    <rPh sb="4" eb="6">
      <t>テンコウ</t>
    </rPh>
    <rPh sb="12" eb="14">
      <t>ヒヨウ</t>
    </rPh>
    <phoneticPr fontId="17"/>
  </si>
  <si>
    <t>外注経費</t>
    <rPh sb="2" eb="4">
      <t>ケイヒ</t>
    </rPh>
    <phoneticPr fontId="5"/>
  </si>
  <si>
    <t>機器間接費</t>
    <phoneticPr fontId="5"/>
  </si>
  <si>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5"/>
  </si>
  <si>
    <t>機器管理費
（電気通信設備工事の場合）</t>
    <rPh sb="0" eb="2">
      <t>キキ</t>
    </rPh>
    <rPh sb="2" eb="5">
      <t>カンリヒ</t>
    </rPh>
    <phoneticPr fontId="5"/>
  </si>
  <si>
    <t>鋼橋等工場製作費
（電気通信設備工事の場合は、機器単体費）</t>
    <rPh sb="12" eb="14">
      <t>ツウシン</t>
    </rPh>
    <rPh sb="14" eb="16">
      <t>セツビ</t>
    </rPh>
    <phoneticPr fontId="5"/>
  </si>
  <si>
    <t>工事請負金額</t>
  </si>
  <si>
    <t>調査票未入力の件数</t>
    <rPh sb="0" eb="3">
      <t>チョウサヒョウ</t>
    </rPh>
    <rPh sb="7" eb="9">
      <t>ケンスウ</t>
    </rPh>
    <phoneticPr fontId="5"/>
  </si>
  <si>
    <t>調査票エラーの件数</t>
    <rPh sb="0" eb="3">
      <t>チョウサヒョウ</t>
    </rPh>
    <rPh sb="7" eb="9">
      <t>ケンスウ</t>
    </rPh>
    <phoneticPr fontId="5"/>
  </si>
  <si>
    <t>下請工事価格</t>
    <rPh sb="0" eb="2">
      <t>シタウケ</t>
    </rPh>
    <rPh sb="2" eb="4">
      <t>コウジ</t>
    </rPh>
    <rPh sb="4" eb="6">
      <t>カカク</t>
    </rPh>
    <phoneticPr fontId="3"/>
  </si>
  <si>
    <t>外注一般管理費等</t>
    <rPh sb="0" eb="2">
      <t>ガイチュウ</t>
    </rPh>
    <rPh sb="2" eb="4">
      <t>イッパン</t>
    </rPh>
    <rPh sb="4" eb="7">
      <t>カンリヒ</t>
    </rPh>
    <rPh sb="7" eb="8">
      <t>トウ</t>
    </rPh>
    <phoneticPr fontId="3"/>
  </si>
  <si>
    <t>広島復興補正</t>
    <rPh sb="0" eb="2">
      <t>ヒロシマ</t>
    </rPh>
    <rPh sb="2" eb="4">
      <t>フッコウ</t>
    </rPh>
    <rPh sb="4" eb="6">
      <t>ホセイ</t>
    </rPh>
    <phoneticPr fontId="5"/>
  </si>
  <si>
    <t>熱中症対策に資する現場管理費の補正の試行による補正</t>
    <phoneticPr fontId="5"/>
  </si>
  <si>
    <t>2：補正無し</t>
    <rPh sb="2" eb="4">
      <t>ホセイ</t>
    </rPh>
    <rPh sb="4" eb="5">
      <t>ナ</t>
    </rPh>
    <phoneticPr fontId="4"/>
  </si>
  <si>
    <t>2019年度</t>
    <rPh sb="4" eb="6">
      <t>ネンド</t>
    </rPh>
    <phoneticPr fontId="24"/>
  </si>
  <si>
    <t>2018年度</t>
    <rPh sb="4" eb="6">
      <t>ネンド</t>
    </rPh>
    <phoneticPr fontId="24"/>
  </si>
  <si>
    <t>2017年度以前</t>
    <rPh sb="4" eb="6">
      <t>ネンド</t>
    </rPh>
    <rPh sb="6" eb="8">
      <t>イゼン</t>
    </rPh>
    <phoneticPr fontId="6"/>
  </si>
  <si>
    <t>ＩＣＴ活用工事に係る設計金額等調査</t>
    <rPh sb="3" eb="5">
      <t>カツヨウ</t>
    </rPh>
    <rPh sb="5" eb="7">
      <t>コウジ</t>
    </rPh>
    <rPh sb="8" eb="9">
      <t>カカ</t>
    </rPh>
    <rPh sb="10" eb="12">
      <t>セッケイ</t>
    </rPh>
    <rPh sb="12" eb="14">
      <t>キンガク</t>
    </rPh>
    <rPh sb="14" eb="15">
      <t>トウ</t>
    </rPh>
    <rPh sb="15" eb="17">
      <t>チョウサ</t>
    </rPh>
    <phoneticPr fontId="5"/>
  </si>
  <si>
    <t>※本シートは、ＩＣＴ活用工事を実施した場合のみご記入ください。</t>
    <rPh sb="1" eb="2">
      <t>ホン</t>
    </rPh>
    <rPh sb="10" eb="12">
      <t>カツヨウ</t>
    </rPh>
    <rPh sb="12" eb="14">
      <t>コウジ</t>
    </rPh>
    <rPh sb="15" eb="17">
      <t>ジッシ</t>
    </rPh>
    <rPh sb="19" eb="21">
      <t>バアイ</t>
    </rPh>
    <rPh sb="24" eb="26">
      <t>キニュウ</t>
    </rPh>
    <phoneticPr fontId="5"/>
  </si>
  <si>
    <t>発注方式</t>
    <rPh sb="0" eb="2">
      <t>ハッチュウ</t>
    </rPh>
    <rPh sb="2" eb="4">
      <t>ホウシキ</t>
    </rPh>
    <phoneticPr fontId="5"/>
  </si>
  <si>
    <t>その他の場合</t>
    <rPh sb="2" eb="3">
      <t>タ</t>
    </rPh>
    <rPh sb="4" eb="6">
      <t>バアイ</t>
    </rPh>
    <phoneticPr fontId="53"/>
  </si>
  <si>
    <t>ＩＣＴ活用工事の工種</t>
    <rPh sb="3" eb="5">
      <t>カツヨウ</t>
    </rPh>
    <rPh sb="5" eb="7">
      <t>コウジ</t>
    </rPh>
    <rPh sb="8" eb="10">
      <t>コウシュ</t>
    </rPh>
    <phoneticPr fontId="53"/>
  </si>
  <si>
    <t>設計金額</t>
    <rPh sb="0" eb="2">
      <t>セッケイ</t>
    </rPh>
    <rPh sb="2" eb="4">
      <t>キンガク</t>
    </rPh>
    <phoneticPr fontId="76"/>
  </si>
  <si>
    <t>直接工事費</t>
    <rPh sb="0" eb="2">
      <t>チョクセツ</t>
    </rPh>
    <rPh sb="2" eb="5">
      <t>コウジヒ</t>
    </rPh>
    <phoneticPr fontId="76"/>
  </si>
  <si>
    <t>千円</t>
    <rPh sb="0" eb="1">
      <t>セン</t>
    </rPh>
    <rPh sb="1" eb="2">
      <t>エン</t>
    </rPh>
    <phoneticPr fontId="5"/>
  </si>
  <si>
    <t>上記以外</t>
    <rPh sb="0" eb="2">
      <t>ジョウキ</t>
    </rPh>
    <rPh sb="2" eb="4">
      <t>イガイ</t>
    </rPh>
    <phoneticPr fontId="76"/>
  </si>
  <si>
    <t>合計</t>
    <rPh sb="0" eb="2">
      <t>ゴウケイ</t>
    </rPh>
    <phoneticPr fontId="76"/>
  </si>
  <si>
    <t>共通仮設費－技術管理費</t>
    <rPh sb="0" eb="2">
      <t>キョウツウ</t>
    </rPh>
    <rPh sb="2" eb="5">
      <t>カセツヒ</t>
    </rPh>
    <rPh sb="6" eb="8">
      <t>ギジュツ</t>
    </rPh>
    <rPh sb="8" eb="11">
      <t>カンリヒ</t>
    </rPh>
    <phoneticPr fontId="76"/>
  </si>
  <si>
    <t>上記以外の費目で計上</t>
    <rPh sb="0" eb="2">
      <t>ジョウキ</t>
    </rPh>
    <rPh sb="2" eb="4">
      <t>イガイ</t>
    </rPh>
    <rPh sb="5" eb="7">
      <t>ヒモク</t>
    </rPh>
    <rPh sb="8" eb="10">
      <t>ケイジョウ</t>
    </rPh>
    <phoneticPr fontId="76"/>
  </si>
  <si>
    <t>　　　計上費目（　 　　　 　　　　）</t>
    <rPh sb="3" eb="5">
      <t>ケイジョウ</t>
    </rPh>
    <rPh sb="5" eb="7">
      <t>ヒモク</t>
    </rPh>
    <phoneticPr fontId="76"/>
  </si>
  <si>
    <t>　　　計上費目（　　　　　　　　　）</t>
    <rPh sb="3" eb="5">
      <t>ケイジョウ</t>
    </rPh>
    <rPh sb="5" eb="7">
      <t>ヒモク</t>
    </rPh>
    <phoneticPr fontId="76"/>
  </si>
  <si>
    <t>ＩＣＴ活用工事に係る設計金額を記入して下さい。</t>
    <rPh sb="3" eb="5">
      <t>カツヨウ</t>
    </rPh>
    <rPh sb="5" eb="7">
      <t>コウジ</t>
    </rPh>
    <rPh sb="8" eb="9">
      <t>カカ</t>
    </rPh>
    <rPh sb="10" eb="12">
      <t>セッケイ</t>
    </rPh>
    <rPh sb="12" eb="14">
      <t>キンガク</t>
    </rPh>
    <rPh sb="15" eb="17">
      <t>キニュウ</t>
    </rPh>
    <rPh sb="19" eb="20">
      <t>クダ</t>
    </rPh>
    <phoneticPr fontId="76"/>
  </si>
  <si>
    <t>※「工事費」シートと同じく、最終設計書の一次官積の金額です。</t>
    <rPh sb="2" eb="5">
      <t>コウジヒ</t>
    </rPh>
    <rPh sb="10" eb="11">
      <t>オナ</t>
    </rPh>
    <rPh sb="14" eb="16">
      <t>サイシュウ</t>
    </rPh>
    <rPh sb="16" eb="19">
      <t>セッケイショ</t>
    </rPh>
    <rPh sb="20" eb="22">
      <t>イチジ</t>
    </rPh>
    <rPh sb="22" eb="24">
      <t>カンセキ</t>
    </rPh>
    <rPh sb="25" eb="27">
      <t>キンガク</t>
    </rPh>
    <phoneticPr fontId="76"/>
  </si>
  <si>
    <t>直接工事費合計に占めるＩＣＴ活用工事の割合</t>
    <rPh sb="0" eb="2">
      <t>チョクセツ</t>
    </rPh>
    <rPh sb="2" eb="5">
      <t>コウジヒ</t>
    </rPh>
    <rPh sb="5" eb="7">
      <t>ゴウケイ</t>
    </rPh>
    <rPh sb="8" eb="9">
      <t>シ</t>
    </rPh>
    <rPh sb="14" eb="16">
      <t>カツヨウ</t>
    </rPh>
    <rPh sb="16" eb="18">
      <t>コウジ</t>
    </rPh>
    <rPh sb="19" eb="21">
      <t>ワリアイ</t>
    </rPh>
    <phoneticPr fontId="53"/>
  </si>
  <si>
    <t>ICT</t>
    <phoneticPr fontId="5"/>
  </si>
  <si>
    <t>施工者希望Ⅰ型</t>
    <rPh sb="0" eb="2">
      <t>セコウ</t>
    </rPh>
    <rPh sb="2" eb="3">
      <t>シャ</t>
    </rPh>
    <rPh sb="3" eb="5">
      <t>キボウ</t>
    </rPh>
    <rPh sb="6" eb="7">
      <t>カタ</t>
    </rPh>
    <phoneticPr fontId="5"/>
  </si>
  <si>
    <t>施工者希望Ⅱ型</t>
    <rPh sb="0" eb="2">
      <t>セコウ</t>
    </rPh>
    <rPh sb="2" eb="3">
      <t>シャ</t>
    </rPh>
    <rPh sb="3" eb="5">
      <t>キボウ</t>
    </rPh>
    <rPh sb="6" eb="7">
      <t>カタ</t>
    </rPh>
    <phoneticPr fontId="5"/>
  </si>
  <si>
    <t>ICT種別</t>
    <rPh sb="3" eb="5">
      <t>シュベツ</t>
    </rPh>
    <phoneticPr fontId="5"/>
  </si>
  <si>
    <t>ID</t>
    <phoneticPr fontId="5"/>
  </si>
  <si>
    <t>ICT土工</t>
    <rPh sb="3" eb="4">
      <t>ド</t>
    </rPh>
    <rPh sb="4" eb="5">
      <t>コウ</t>
    </rPh>
    <phoneticPr fontId="5"/>
  </si>
  <si>
    <t>ICT舗装工</t>
    <rPh sb="3" eb="5">
      <t>ホソウ</t>
    </rPh>
    <rPh sb="5" eb="6">
      <t>コウ</t>
    </rPh>
    <phoneticPr fontId="5"/>
  </si>
  <si>
    <t>再圧装置設置、撤去、維持管理に要した費用</t>
    <phoneticPr fontId="5"/>
  </si>
  <si>
    <t>NTT防護管設置費用</t>
    <rPh sb="3" eb="5">
      <t>ボウゴ</t>
    </rPh>
    <rPh sb="5" eb="6">
      <t>カン</t>
    </rPh>
    <rPh sb="6" eb="8">
      <t>セッチ</t>
    </rPh>
    <rPh sb="8" eb="10">
      <t>ヒヨウ</t>
    </rPh>
    <phoneticPr fontId="5"/>
  </si>
  <si>
    <t>F</t>
    <phoneticPr fontId="5"/>
  </si>
  <si>
    <t>C</t>
    <phoneticPr fontId="5"/>
  </si>
  <si>
    <t>外国人労働者の技能実習に要した費用</t>
    <phoneticPr fontId="5"/>
  </si>
  <si>
    <r>
      <t>外注費</t>
    </r>
    <r>
      <rPr>
        <sz val="10"/>
        <color indexed="20"/>
        <rFont val="ＭＳ Ｐゴシック"/>
        <family val="3"/>
        <charset val="128"/>
      </rPr>
      <t>(下請欄は、外注経費の自動計算値）</t>
    </r>
    <rPh sb="11" eb="13">
      <t>ケイヒ</t>
    </rPh>
    <phoneticPr fontId="5"/>
  </si>
  <si>
    <r>
      <t>消費税相当額</t>
    </r>
    <r>
      <rPr>
        <sz val="8.5"/>
        <color indexed="20"/>
        <rFont val="ＭＳ Ｐゴシック"/>
        <family val="3"/>
        <charset val="128"/>
      </rPr>
      <t>（下請欄は、下請工事価格の自動計算値）</t>
    </r>
    <phoneticPr fontId="5"/>
  </si>
  <si>
    <t>ICT活用工事</t>
    <rPh sb="3" eb="5">
      <t>カツヨウ</t>
    </rPh>
    <rPh sb="5" eb="7">
      <t>コウジ</t>
    </rPh>
    <phoneticPr fontId="5"/>
  </si>
  <si>
    <t>ICT活用工事</t>
    <rPh sb="3" eb="7">
      <t>カツヨウコウジ</t>
    </rPh>
    <phoneticPr fontId="5"/>
  </si>
  <si>
    <t>○：ICT活用工事</t>
    <rPh sb="5" eb="7">
      <t>カツヨウ</t>
    </rPh>
    <rPh sb="7" eb="9">
      <t>コウジ</t>
    </rPh>
    <phoneticPr fontId="5"/>
  </si>
  <si>
    <t>ICT活用工事以外</t>
    <rPh sb="3" eb="7">
      <t>カツヨウコウジ</t>
    </rPh>
    <rPh sb="7" eb="9">
      <t>イガイ</t>
    </rPh>
    <phoneticPr fontId="5"/>
  </si>
  <si>
    <t>元請調査票データ</t>
    <rPh sb="0" eb="2">
      <t>モトウ</t>
    </rPh>
    <rPh sb="2" eb="5">
      <t>チョウサヒョウ</t>
    </rPh>
    <phoneticPr fontId="5"/>
  </si>
  <si>
    <t>未入力：</t>
    <rPh sb="0" eb="3">
      <t>ミニュウリョク</t>
    </rPh>
    <phoneticPr fontId="5"/>
  </si>
  <si>
    <t>「補正有り」の場合：積算に用いた熱中症対策補正率</t>
    <rPh sb="1" eb="3">
      <t>ホセイ</t>
    </rPh>
    <rPh sb="3" eb="4">
      <t>ア</t>
    </rPh>
    <rPh sb="7" eb="9">
      <t>バアイ</t>
    </rPh>
    <rPh sb="10" eb="12">
      <t>セキサン</t>
    </rPh>
    <rPh sb="13" eb="14">
      <t>モチ</t>
    </rPh>
    <rPh sb="16" eb="18">
      <t>ネッチュウ</t>
    </rPh>
    <rPh sb="18" eb="19">
      <t>ショウ</t>
    </rPh>
    <rPh sb="19" eb="21">
      <t>タイサク</t>
    </rPh>
    <rPh sb="21" eb="23">
      <t>ホセイ</t>
    </rPh>
    <rPh sb="23" eb="24">
      <t>リツ</t>
    </rPh>
    <phoneticPr fontId="5"/>
  </si>
  <si>
    <t>現場環境改善費を入力して下さい</t>
    <rPh sb="6" eb="7">
      <t>ヒ</t>
    </rPh>
    <phoneticPr fontId="5"/>
  </si>
  <si>
    <t>現場環境改善費</t>
    <rPh sb="0" eb="2">
      <t>ゲンバ</t>
    </rPh>
    <rPh sb="2" eb="4">
      <t>カンキョウ</t>
    </rPh>
    <rPh sb="4" eb="6">
      <t>カイゼン</t>
    </rPh>
    <rPh sb="6" eb="7">
      <t>ヒ</t>
    </rPh>
    <phoneticPr fontId="5"/>
  </si>
  <si>
    <r>
      <t>発注ファイル及び元請ファイルの現場環境改善費が</t>
    </r>
    <r>
      <rPr>
        <b/>
        <sz val="11"/>
        <color theme="1"/>
        <rFont val="ＭＳ Ｐゴシック"/>
        <family val="3"/>
        <charset val="128"/>
      </rPr>
      <t>未入力</t>
    </r>
    <rPh sb="21" eb="22">
      <t>ヒ</t>
    </rPh>
    <phoneticPr fontId="5"/>
  </si>
  <si>
    <r>
      <t>発注ファイルの現場環境改善費が</t>
    </r>
    <r>
      <rPr>
        <b/>
        <sz val="11"/>
        <color theme="1"/>
        <rFont val="ＭＳ Ｐゴシック"/>
        <family val="3"/>
        <charset val="128"/>
      </rPr>
      <t>未入力</t>
    </r>
    <rPh sb="13" eb="14">
      <t>ヒ</t>
    </rPh>
    <phoneticPr fontId="5"/>
  </si>
  <si>
    <r>
      <t>元請ファイルの現場環境改善費が</t>
    </r>
    <r>
      <rPr>
        <b/>
        <sz val="11"/>
        <color theme="1"/>
        <rFont val="ＭＳ Ｐゴシック"/>
        <family val="3"/>
        <charset val="128"/>
      </rPr>
      <t>未入力</t>
    </r>
    <phoneticPr fontId="5"/>
  </si>
  <si>
    <r>
      <t xml:space="preserve">受発注で現場環境改善費の金額差が大きい
</t>
    </r>
    <r>
      <rPr>
        <b/>
        <sz val="11"/>
        <color theme="1"/>
        <rFont val="ＭＳ Ｐゴシック"/>
        <family val="3"/>
        <charset val="128"/>
      </rPr>
      <t>（元請ファイル実績額の過大）</t>
    </r>
    <rPh sb="0" eb="3">
      <t>ジュハッチュウ</t>
    </rPh>
    <rPh sb="10" eb="11">
      <t>ヒ</t>
    </rPh>
    <rPh sb="12" eb="14">
      <t>キンガク</t>
    </rPh>
    <rPh sb="14" eb="15">
      <t>サ</t>
    </rPh>
    <rPh sb="16" eb="17">
      <t>オオ</t>
    </rPh>
    <rPh sb="21" eb="23">
      <t>モトウケ</t>
    </rPh>
    <rPh sb="27" eb="29">
      <t>ジッセキ</t>
    </rPh>
    <rPh sb="29" eb="30">
      <t>ガク</t>
    </rPh>
    <rPh sb="31" eb="33">
      <t>カダイ</t>
    </rPh>
    <phoneticPr fontId="5"/>
  </si>
  <si>
    <r>
      <t xml:space="preserve">受発注で現場環境改善費の金額差が大きい
</t>
    </r>
    <r>
      <rPr>
        <b/>
        <sz val="11"/>
        <color theme="1"/>
        <rFont val="ＭＳ Ｐゴシック"/>
        <family val="3"/>
        <charset val="128"/>
      </rPr>
      <t>（元請ファイル実績額の過小）</t>
    </r>
    <rPh sb="0" eb="3">
      <t>ジュハッチュウ</t>
    </rPh>
    <rPh sb="10" eb="11">
      <t>ヒ</t>
    </rPh>
    <rPh sb="12" eb="14">
      <t>キンガク</t>
    </rPh>
    <rPh sb="14" eb="15">
      <t>サ</t>
    </rPh>
    <rPh sb="16" eb="17">
      <t>オオ</t>
    </rPh>
    <rPh sb="21" eb="23">
      <t>モトウケ</t>
    </rPh>
    <rPh sb="27" eb="29">
      <t>ジッセキ</t>
    </rPh>
    <rPh sb="29" eb="30">
      <t>ガク</t>
    </rPh>
    <rPh sb="31" eb="33">
      <t>カショウ</t>
    </rPh>
    <phoneticPr fontId="5"/>
  </si>
  <si>
    <t>支給品費</t>
    <rPh sb="0" eb="2">
      <t>シキュウ</t>
    </rPh>
    <rPh sb="2" eb="3">
      <t>ヒン</t>
    </rPh>
    <rPh sb="3" eb="4">
      <t>ヒ</t>
    </rPh>
    <phoneticPr fontId="5"/>
  </si>
  <si>
    <t>令和2年度</t>
    <rPh sb="3" eb="5">
      <t>ネンド</t>
    </rPh>
    <phoneticPr fontId="5"/>
  </si>
  <si>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53"/>
  </si>
  <si>
    <t>　　令和元年度（平成31年度）以前に発注した工事は、適宜名称の読み替え等を行い、入力して下さい。</t>
    <rPh sb="2" eb="4">
      <t>レイワ</t>
    </rPh>
    <rPh sb="4" eb="6">
      <t>ガンネン</t>
    </rPh>
    <rPh sb="6" eb="7">
      <t>ド</t>
    </rPh>
    <rPh sb="8" eb="10">
      <t>ヘイセイ</t>
    </rPh>
    <rPh sb="12" eb="14">
      <t>ネンド</t>
    </rPh>
    <rPh sb="15" eb="17">
      <t>イゼン</t>
    </rPh>
    <rPh sb="18" eb="20">
      <t>ハッチュウ</t>
    </rPh>
    <rPh sb="22" eb="24">
      <t>コウジ</t>
    </rPh>
    <rPh sb="26" eb="28">
      <t>テキギ</t>
    </rPh>
    <rPh sb="28" eb="30">
      <t>メイショウ</t>
    </rPh>
    <rPh sb="31" eb="32">
      <t>ヨ</t>
    </rPh>
    <rPh sb="33" eb="34">
      <t>カ</t>
    </rPh>
    <rPh sb="35" eb="36">
      <t>トウ</t>
    </rPh>
    <rPh sb="37" eb="38">
      <t>オコナ</t>
    </rPh>
    <rPh sb="40" eb="42">
      <t>ニュウリョク</t>
    </rPh>
    <rPh sb="44" eb="45">
      <t>クダ</t>
    </rPh>
    <phoneticPr fontId="53"/>
  </si>
  <si>
    <t>（自）　和暦</t>
    <rPh sb="1" eb="2">
      <t>ジユウ</t>
    </rPh>
    <phoneticPr fontId="4"/>
  </si>
  <si>
    <t>（至）　和暦</t>
    <rPh sb="1" eb="2">
      <t>イタル</t>
    </rPh>
    <phoneticPr fontId="4"/>
  </si>
  <si>
    <t>年</t>
    <rPh sb="0" eb="1">
      <t>ネン</t>
    </rPh>
    <phoneticPr fontId="5"/>
  </si>
  <si>
    <t>令和3</t>
    <rPh sb="0" eb="2">
      <t>レイワ</t>
    </rPh>
    <phoneticPr fontId="5"/>
  </si>
  <si>
    <t>令和2</t>
    <rPh sb="0" eb="2">
      <t>レイワ</t>
    </rPh>
    <phoneticPr fontId="5"/>
  </si>
  <si>
    <t>令和元</t>
    <rPh sb="0" eb="2">
      <t>レイワ</t>
    </rPh>
    <phoneticPr fontId="5"/>
  </si>
  <si>
    <t>平成31</t>
    <rPh sb="0" eb="2">
      <t>ヘイセイ</t>
    </rPh>
    <phoneticPr fontId="5"/>
  </si>
  <si>
    <t>平成30</t>
    <rPh sb="0" eb="2">
      <t>ヘイセイ</t>
    </rPh>
    <phoneticPr fontId="5"/>
  </si>
  <si>
    <t>平成29</t>
    <rPh sb="0" eb="2">
      <t>ヘイセイ</t>
    </rPh>
    <phoneticPr fontId="5"/>
  </si>
  <si>
    <t>平成28</t>
    <rPh sb="0" eb="2">
      <t>ヘイセイ</t>
    </rPh>
    <phoneticPr fontId="5"/>
  </si>
  <si>
    <t>平成27</t>
    <rPh sb="0" eb="2">
      <t>ヘイセイ</t>
    </rPh>
    <phoneticPr fontId="5"/>
  </si>
  <si>
    <t>平成26</t>
    <rPh sb="0" eb="2">
      <t>ヘイセイ</t>
    </rPh>
    <phoneticPr fontId="5"/>
  </si>
  <si>
    <t>平成25</t>
    <rPh sb="0" eb="2">
      <t>ヘイセイ</t>
    </rPh>
    <phoneticPr fontId="5"/>
  </si>
  <si>
    <t>月</t>
    <rPh sb="0" eb="1">
      <t>ツキ</t>
    </rPh>
    <phoneticPr fontId="5"/>
  </si>
  <si>
    <t>日</t>
    <rPh sb="0" eb="1">
      <t>ニチ</t>
    </rPh>
    <phoneticPr fontId="5"/>
  </si>
  <si>
    <t>都道府県名</t>
    <rPh sb="0" eb="4">
      <t>トドウフケン</t>
    </rPh>
    <rPh sb="4" eb="5">
      <t>メイ</t>
    </rPh>
    <phoneticPr fontId="5"/>
  </si>
  <si>
    <t>市区町村名</t>
    <rPh sb="0" eb="5">
      <t>シクチョウソンメイ</t>
    </rPh>
    <phoneticPr fontId="5"/>
  </si>
  <si>
    <t>団体コード</t>
    <rPh sb="0" eb="2">
      <t>ダンタイ</t>
    </rPh>
    <phoneticPr fontId="5"/>
  </si>
  <si>
    <t>都道府県名
（漢字）</t>
    <rPh sb="0" eb="4">
      <t>トドウフケン</t>
    </rPh>
    <rPh sb="4" eb="5">
      <t>メイ</t>
    </rPh>
    <rPh sb="7" eb="9">
      <t>カンジ</t>
    </rPh>
    <phoneticPr fontId="5"/>
  </si>
  <si>
    <t>市区町村名
（漢字）</t>
    <rPh sb="0" eb="2">
      <t>シク</t>
    </rPh>
    <rPh sb="2" eb="4">
      <t>チョウソン</t>
    </rPh>
    <rPh sb="4" eb="5">
      <t>メイ</t>
    </rPh>
    <rPh sb="7" eb="9">
      <t>カンジ</t>
    </rPh>
    <phoneticPr fontId="5"/>
  </si>
  <si>
    <t>都道府県名</t>
    <rPh sb="0" eb="4">
      <t>トドウフケン</t>
    </rPh>
    <rPh sb="4" eb="5">
      <t>メイ</t>
    </rPh>
    <phoneticPr fontId="53"/>
  </si>
  <si>
    <t>参照範囲</t>
    <rPh sb="0" eb="2">
      <t>サンショウ</t>
    </rPh>
    <rPh sb="2" eb="4">
      <t>ハンイ</t>
    </rPh>
    <phoneticPr fontId="53"/>
  </si>
  <si>
    <t>010006</t>
  </si>
  <si>
    <t>北海道</t>
    <phoneticPr fontId="53"/>
  </si>
  <si>
    <t>001：北海道</t>
  </si>
  <si>
    <t>002：青森県</t>
  </si>
  <si>
    <t>012033</t>
  </si>
  <si>
    <t>小樽市</t>
  </si>
  <si>
    <t>003：岩手県</t>
  </si>
  <si>
    <t>宮城県</t>
  </si>
  <si>
    <t>004：宮城県</t>
  </si>
  <si>
    <t>012050</t>
  </si>
  <si>
    <t>室蘭市</t>
  </si>
  <si>
    <t>005：秋田県</t>
  </si>
  <si>
    <t>012068</t>
  </si>
  <si>
    <t>釧路市</t>
  </si>
  <si>
    <t>006：山形県</t>
  </si>
  <si>
    <t>012076</t>
  </si>
  <si>
    <t>帯広市</t>
  </si>
  <si>
    <t>007：福島県</t>
  </si>
  <si>
    <t>012084</t>
  </si>
  <si>
    <t>北見市</t>
  </si>
  <si>
    <t>008：茨城県</t>
  </si>
  <si>
    <t>012092</t>
  </si>
  <si>
    <t>夕張市</t>
  </si>
  <si>
    <t>009：栃木県</t>
  </si>
  <si>
    <t>012106</t>
  </si>
  <si>
    <t>岩見沢市</t>
  </si>
  <si>
    <t>010：群馬県</t>
  </si>
  <si>
    <t>012114</t>
  </si>
  <si>
    <t>網走市</t>
  </si>
  <si>
    <t>011：埼玉県</t>
  </si>
  <si>
    <t>012122</t>
  </si>
  <si>
    <t>留萌市</t>
  </si>
  <si>
    <t>012：千葉県</t>
  </si>
  <si>
    <t>012131</t>
  </si>
  <si>
    <t>苫小牧市</t>
  </si>
  <si>
    <t>東京都</t>
  </si>
  <si>
    <t>013：東京都</t>
  </si>
  <si>
    <t>012149</t>
  </si>
  <si>
    <t>稚内市</t>
  </si>
  <si>
    <t>014：神奈川県</t>
  </si>
  <si>
    <t>012157</t>
  </si>
  <si>
    <t>美唄市</t>
  </si>
  <si>
    <t>015：新潟県</t>
  </si>
  <si>
    <t>012165</t>
  </si>
  <si>
    <t>芦別市</t>
  </si>
  <si>
    <t>016：富山県</t>
  </si>
  <si>
    <t>012173</t>
  </si>
  <si>
    <t>江別市</t>
  </si>
  <si>
    <t>017：石川県</t>
  </si>
  <si>
    <t>012181</t>
  </si>
  <si>
    <t>赤平市</t>
  </si>
  <si>
    <t>018：福井県</t>
  </si>
  <si>
    <t>012190</t>
  </si>
  <si>
    <t>紋別市</t>
  </si>
  <si>
    <t>019：山梨県</t>
  </si>
  <si>
    <t>012203</t>
  </si>
  <si>
    <t>士別市</t>
  </si>
  <si>
    <t>020：長野県</t>
  </si>
  <si>
    <t>012211</t>
  </si>
  <si>
    <t>名寄市</t>
  </si>
  <si>
    <t>021：岐阜県</t>
  </si>
  <si>
    <t>012220</t>
  </si>
  <si>
    <t>三笠市</t>
  </si>
  <si>
    <t>022：静岡県</t>
  </si>
  <si>
    <t>012238</t>
  </si>
  <si>
    <t>根室市</t>
  </si>
  <si>
    <t>023：愛知県</t>
  </si>
  <si>
    <t>012246</t>
  </si>
  <si>
    <t>千歳市</t>
  </si>
  <si>
    <t>024：三重県</t>
  </si>
  <si>
    <t>012254</t>
  </si>
  <si>
    <t>滝川市</t>
  </si>
  <si>
    <t>025：滋賀県</t>
  </si>
  <si>
    <t>012262</t>
  </si>
  <si>
    <t>砂川市</t>
  </si>
  <si>
    <t>京都府</t>
  </si>
  <si>
    <t>026：京都府</t>
  </si>
  <si>
    <t>012271</t>
  </si>
  <si>
    <t>歌志内市</t>
  </si>
  <si>
    <t>027：大阪府</t>
  </si>
  <si>
    <t>012289</t>
  </si>
  <si>
    <t>深川市</t>
  </si>
  <si>
    <t>028：兵庫県</t>
  </si>
  <si>
    <t>012297</t>
  </si>
  <si>
    <t>富良野市</t>
  </si>
  <si>
    <t>029：奈良県</t>
  </si>
  <si>
    <t>012301</t>
  </si>
  <si>
    <t>登別市</t>
  </si>
  <si>
    <t>030：和歌山県</t>
  </si>
  <si>
    <t>012319</t>
  </si>
  <si>
    <t>恵庭市</t>
  </si>
  <si>
    <t>031：鳥取県</t>
  </si>
  <si>
    <t>012335</t>
  </si>
  <si>
    <t>伊達市</t>
  </si>
  <si>
    <t>島根県</t>
  </si>
  <si>
    <t>032：島根県</t>
  </si>
  <si>
    <t>012343</t>
  </si>
  <si>
    <t>北広島市</t>
  </si>
  <si>
    <t>033：岡山県</t>
  </si>
  <si>
    <t>012351</t>
  </si>
  <si>
    <t>石狩市</t>
  </si>
  <si>
    <t>034：広島県</t>
  </si>
  <si>
    <t>012360</t>
  </si>
  <si>
    <t>北斗市</t>
  </si>
  <si>
    <t>035：山口県</t>
  </si>
  <si>
    <t>013030</t>
  </si>
  <si>
    <t>当別町</t>
  </si>
  <si>
    <t>徳島県</t>
  </si>
  <si>
    <t>036：徳島県</t>
  </si>
  <si>
    <t>013048</t>
  </si>
  <si>
    <t>新篠津村</t>
  </si>
  <si>
    <t>037：香川県</t>
  </si>
  <si>
    <t>013315</t>
  </si>
  <si>
    <t>松前町</t>
  </si>
  <si>
    <t>038：愛媛県</t>
  </si>
  <si>
    <t>013323</t>
  </si>
  <si>
    <t>福島町</t>
  </si>
  <si>
    <t>039：高知県</t>
  </si>
  <si>
    <t>013331</t>
  </si>
  <si>
    <t>知内町</t>
  </si>
  <si>
    <t>040：福岡県</t>
  </si>
  <si>
    <t>013340</t>
  </si>
  <si>
    <t>木古内町</t>
  </si>
  <si>
    <t>佐賀県</t>
  </si>
  <si>
    <t>041：佐賀県</t>
  </si>
  <si>
    <t>013374</t>
  </si>
  <si>
    <t>七飯町</t>
  </si>
  <si>
    <t>042：長崎県</t>
  </si>
  <si>
    <t>013439</t>
  </si>
  <si>
    <t>鹿部町</t>
  </si>
  <si>
    <t>043：熊本県</t>
  </si>
  <si>
    <t>013455</t>
  </si>
  <si>
    <t>森町</t>
  </si>
  <si>
    <t>044：大分県</t>
  </si>
  <si>
    <t>013463</t>
  </si>
  <si>
    <t>八雲町</t>
  </si>
  <si>
    <t>045：宮崎県</t>
  </si>
  <si>
    <t>013471</t>
  </si>
  <si>
    <t>長万部町</t>
  </si>
  <si>
    <t>046：鹿児島県</t>
  </si>
  <si>
    <t>013617</t>
  </si>
  <si>
    <t>江差町</t>
  </si>
  <si>
    <t>沖縄県</t>
  </si>
  <si>
    <t>047：沖縄県</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</si>
  <si>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</si>
  <si>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</si>
  <si>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</si>
  <si>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</si>
  <si>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</si>
  <si>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</si>
  <si>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</si>
  <si>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</si>
  <si>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</si>
  <si>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</si>
  <si>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</si>
  <si>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</si>
  <si>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</si>
  <si>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</si>
  <si>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</si>
  <si>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</si>
  <si>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</si>
  <si>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</si>
  <si>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</si>
  <si>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</si>
  <si>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</si>
  <si>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</si>
  <si>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</si>
  <si>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</si>
  <si>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</si>
  <si>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</si>
  <si>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</si>
  <si>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</si>
  <si>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</si>
  <si>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</si>
  <si>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</si>
  <si>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</si>
  <si>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</si>
  <si>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</si>
  <si>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</si>
  <si>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</si>
  <si>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</si>
  <si>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</si>
  <si>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</si>
  <si>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</si>
  <si>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</si>
  <si>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</si>
  <si>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</si>
  <si>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</si>
  <si>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</si>
  <si>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</si>
  <si>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</si>
  <si>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</si>
  <si>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</si>
  <si>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</si>
  <si>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</si>
  <si>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</si>
  <si>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</si>
  <si>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</si>
  <si>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</si>
  <si>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</si>
  <si>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</si>
  <si>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</si>
  <si>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</si>
  <si>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</si>
  <si>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</si>
  <si>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</si>
  <si>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</si>
  <si>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</si>
  <si>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</si>
  <si>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</si>
  <si>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</si>
  <si>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</si>
  <si>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</si>
  <si>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</si>
  <si>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</si>
  <si>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</si>
  <si>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</si>
  <si>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</si>
  <si>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</si>
  <si>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</si>
  <si>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</si>
  <si>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</si>
  <si>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</si>
  <si>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</si>
  <si>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</si>
  <si>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</si>
  <si>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</si>
  <si>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</si>
  <si>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</si>
  <si>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</si>
  <si>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</si>
  <si>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</si>
  <si>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</si>
  <si>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</si>
  <si>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</si>
  <si>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</si>
  <si>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</si>
  <si>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</si>
  <si>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</si>
  <si>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</si>
  <si>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</si>
  <si>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</si>
  <si>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</si>
  <si>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</si>
  <si>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</si>
  <si>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</si>
  <si>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</si>
  <si>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</si>
  <si>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</si>
  <si>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</si>
  <si>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</si>
  <si>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</si>
  <si>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</si>
  <si>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</si>
  <si>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</si>
  <si>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</si>
  <si>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</si>
  <si>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</si>
  <si>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</si>
  <si>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</si>
  <si>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</si>
  <si>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</si>
  <si>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</si>
  <si>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</si>
  <si>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</si>
  <si>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</si>
  <si>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</si>
  <si>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</si>
  <si>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</si>
  <si>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</si>
  <si>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</si>
  <si>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</si>
  <si>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</si>
  <si>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</si>
  <si>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</si>
  <si>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</si>
  <si>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</si>
  <si>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</si>
  <si>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</si>
  <si>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</si>
  <si>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</si>
  <si>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</si>
  <si>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</si>
  <si>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</si>
  <si>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</si>
  <si>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</si>
  <si>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</si>
  <si>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</si>
  <si>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</si>
  <si>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</si>
  <si>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</si>
  <si>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</si>
  <si>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</si>
  <si>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</si>
  <si>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</si>
  <si>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</si>
  <si>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</si>
  <si>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</si>
  <si>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</si>
  <si>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</si>
  <si>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</si>
  <si>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</si>
  <si>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</si>
  <si>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</si>
  <si>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</si>
  <si>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</si>
  <si>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</si>
  <si>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</si>
  <si>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</si>
  <si>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</si>
  <si>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</si>
  <si>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</si>
  <si>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</si>
  <si>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</si>
  <si>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</si>
  <si>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</si>
  <si>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</si>
  <si>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</si>
  <si>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</si>
  <si>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</si>
  <si>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</si>
  <si>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</si>
  <si>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</si>
  <si>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</si>
  <si>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</si>
  <si>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</si>
  <si>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</si>
  <si>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</si>
  <si>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</si>
  <si>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</si>
  <si>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</si>
  <si>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</si>
  <si>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</si>
  <si>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</si>
  <si>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</si>
  <si>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</si>
  <si>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</si>
  <si>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</si>
  <si>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</si>
  <si>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</si>
  <si>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</si>
  <si>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</si>
  <si>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</si>
  <si>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</si>
  <si>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</si>
  <si>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</si>
  <si>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</si>
  <si>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</si>
  <si>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</si>
  <si>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</si>
  <si>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</si>
  <si>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</si>
  <si>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</si>
  <si>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</si>
  <si>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</si>
  <si>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</si>
  <si>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</si>
  <si>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</si>
  <si>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</si>
  <si>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</si>
  <si>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</si>
  <si>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</si>
  <si>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</si>
  <si>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</si>
  <si>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</si>
  <si>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</si>
  <si>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</si>
  <si>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</si>
  <si>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</si>
  <si>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</si>
  <si>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</si>
  <si>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</si>
  <si>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</si>
  <si>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</si>
  <si>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</si>
  <si>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</si>
  <si>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</si>
  <si>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</si>
  <si>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</si>
  <si>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</si>
  <si>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</si>
  <si>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</si>
  <si>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</si>
  <si>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</si>
  <si>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</si>
  <si>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</si>
  <si>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</si>
  <si>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</si>
  <si>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</si>
  <si>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</si>
  <si>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</si>
  <si>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</si>
  <si>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</si>
  <si>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</si>
  <si>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</si>
  <si>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</si>
  <si>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</si>
  <si>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</si>
  <si>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</si>
  <si>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</si>
  <si>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</si>
  <si>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</si>
  <si>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</si>
  <si>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</si>
  <si>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</si>
  <si>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</si>
  <si>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</si>
  <si>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</si>
  <si>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</si>
  <si>
    <t>022021</t>
  </si>
  <si>
    <t>弘前市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</si>
  <si>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</si>
  <si>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</si>
  <si>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</si>
  <si>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</si>
  <si>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</si>
  <si>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</si>
  <si>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</si>
  <si>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</si>
  <si>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</si>
  <si>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</si>
  <si>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</si>
  <si>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</si>
  <si>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</si>
  <si>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</si>
  <si>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</si>
  <si>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</si>
  <si>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</si>
  <si>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</si>
  <si>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</si>
  <si>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</si>
  <si>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</si>
  <si>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</si>
  <si>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</si>
  <si>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</si>
  <si>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</si>
  <si>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</si>
  <si>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</si>
  <si>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</si>
  <si>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</si>
  <si>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</si>
  <si>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</si>
  <si>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</si>
  <si>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</si>
  <si>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</si>
  <si>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</si>
  <si>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</si>
  <si>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</si>
  <si>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</si>
  <si>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</si>
  <si>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</si>
  <si>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</si>
  <si>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</si>
  <si>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</si>
  <si>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</si>
  <si>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</si>
  <si>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</si>
  <si>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</si>
  <si>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</si>
  <si>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</si>
  <si>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</si>
  <si>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</si>
  <si>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</si>
  <si>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</si>
  <si>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</si>
  <si>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</si>
  <si>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</si>
  <si>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</si>
  <si>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</si>
  <si>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</si>
  <si>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</si>
  <si>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</si>
  <si>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</si>
  <si>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</si>
  <si>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</si>
  <si>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</si>
  <si>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</si>
  <si>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</si>
  <si>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</si>
  <si>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</si>
  <si>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</si>
  <si>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</si>
  <si>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</si>
  <si>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</si>
  <si>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</si>
  <si>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</si>
  <si>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</si>
  <si>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</si>
  <si>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</si>
  <si>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</si>
  <si>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</si>
  <si>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</si>
  <si>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</si>
  <si>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</si>
  <si>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</si>
  <si>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</si>
  <si>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</si>
  <si>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</si>
  <si>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</si>
  <si>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</si>
  <si>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</si>
  <si>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</si>
  <si>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</si>
  <si>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</si>
  <si>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</si>
  <si>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</si>
  <si>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</si>
  <si>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</si>
  <si>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</si>
  <si>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</si>
  <si>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</si>
  <si>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rPh sb="2" eb="3">
      <t>シ</t>
    </rPh>
    <phoneticPr fontId="5"/>
  </si>
  <si>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</si>
  <si>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</si>
  <si>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</si>
  <si>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</si>
  <si>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</si>
  <si>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</si>
  <si>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</si>
  <si>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</si>
  <si>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</si>
  <si>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</si>
  <si>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</si>
  <si>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</si>
  <si>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</si>
  <si>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</si>
  <si>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</si>
  <si>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</si>
  <si>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</si>
  <si>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</si>
  <si>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</si>
  <si>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</si>
  <si>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</si>
  <si>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</si>
  <si>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</si>
  <si>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</si>
  <si>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</si>
  <si>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</si>
  <si>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</si>
  <si>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</si>
  <si>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</si>
  <si>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</si>
  <si>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</si>
  <si>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</si>
  <si>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</si>
  <si>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</si>
  <si>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</si>
  <si>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</si>
  <si>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</si>
  <si>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</si>
  <si>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</si>
  <si>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</si>
  <si>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</si>
  <si>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</si>
  <si>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</si>
  <si>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</si>
  <si>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</si>
  <si>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</si>
  <si>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</si>
  <si>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</si>
  <si>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</si>
  <si>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</si>
  <si>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</si>
  <si>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</si>
  <si>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</si>
  <si>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</si>
  <si>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</si>
  <si>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</si>
  <si>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</si>
  <si>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</si>
  <si>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</si>
  <si>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</si>
  <si>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</si>
  <si>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</si>
  <si>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</si>
  <si>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</si>
  <si>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rPh sb="2" eb="3">
      <t>シ</t>
    </rPh>
    <phoneticPr fontId="5"/>
  </si>
  <si>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</si>
  <si>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</si>
  <si>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</si>
  <si>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</si>
  <si>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</si>
  <si>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</si>
  <si>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</si>
  <si>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</si>
  <si>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</si>
  <si>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</si>
  <si>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</si>
  <si>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</si>
  <si>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</si>
  <si>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</si>
  <si>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</si>
  <si>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</si>
  <si>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</si>
  <si>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</si>
  <si>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</si>
  <si>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</si>
  <si>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</si>
  <si>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</si>
  <si>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</si>
  <si>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</si>
  <si>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</si>
  <si>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</si>
  <si>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</si>
  <si>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</si>
  <si>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</si>
  <si>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</si>
  <si>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</si>
  <si>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</si>
  <si>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</si>
  <si>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</si>
  <si>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</si>
  <si>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</si>
  <si>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</si>
  <si>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</si>
  <si>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</si>
  <si>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</si>
  <si>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</si>
  <si>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</si>
  <si>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</si>
  <si>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</si>
  <si>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</si>
  <si>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</si>
  <si>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</si>
  <si>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</si>
  <si>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</si>
  <si>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</si>
  <si>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</si>
  <si>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</si>
  <si>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</si>
  <si>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</si>
  <si>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</si>
  <si>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</si>
  <si>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</si>
  <si>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</si>
  <si>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</si>
  <si>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</si>
  <si>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</si>
  <si>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</si>
  <si>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</si>
  <si>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</si>
  <si>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</si>
  <si>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</si>
  <si>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</si>
  <si>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</si>
  <si>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</si>
  <si>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</si>
  <si>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</si>
  <si>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</si>
  <si>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</si>
  <si>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</si>
  <si>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</si>
  <si>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</si>
  <si>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</si>
  <si>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</si>
  <si>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</si>
  <si>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</si>
  <si>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</si>
  <si>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</si>
  <si>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</si>
  <si>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</si>
  <si>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</si>
  <si>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</si>
  <si>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</si>
  <si>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</si>
  <si>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</si>
  <si>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</si>
  <si>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</si>
  <si>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</si>
  <si>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</si>
  <si>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</si>
  <si>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</si>
  <si>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</si>
  <si>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</si>
  <si>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</si>
  <si>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</si>
  <si>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</si>
  <si>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</si>
  <si>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</si>
  <si>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</si>
  <si>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</si>
  <si>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</si>
  <si>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</si>
  <si>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</si>
  <si>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</si>
  <si>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</si>
  <si>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</si>
  <si>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</si>
  <si>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</si>
  <si>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</si>
  <si>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</si>
  <si>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</si>
  <si>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</si>
  <si>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</si>
  <si>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</si>
  <si>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</si>
  <si>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</si>
  <si>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</si>
  <si>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</si>
  <si>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</si>
  <si>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</si>
  <si>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</si>
  <si>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</si>
  <si>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</si>
  <si>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</si>
  <si>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</si>
  <si>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</si>
  <si>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</si>
  <si>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</si>
  <si>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</si>
  <si>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</si>
  <si>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</si>
  <si>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</si>
  <si>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</si>
  <si>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</si>
  <si>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</si>
  <si>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</si>
  <si>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</si>
  <si>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</si>
  <si>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</si>
  <si>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</si>
  <si>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</si>
  <si>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</si>
  <si>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</si>
  <si>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</si>
  <si>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</si>
  <si>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</si>
  <si>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</si>
  <si>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</si>
  <si>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</si>
  <si>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</si>
  <si>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</si>
  <si>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</si>
  <si>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</si>
  <si>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</si>
  <si>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</si>
  <si>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</si>
  <si>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</si>
  <si>
    <t>福島市</t>
  </si>
  <si>
    <t>072028</t>
  </si>
  <si>
    <t>会津若松市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</si>
  <si>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</si>
  <si>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</si>
  <si>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</si>
  <si>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</si>
  <si>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</si>
  <si>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</si>
  <si>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</si>
  <si>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</si>
  <si>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</si>
  <si>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</si>
  <si>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</si>
  <si>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</si>
  <si>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</si>
  <si>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</si>
  <si>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</si>
  <si>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</si>
  <si>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</si>
  <si>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</si>
  <si>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</si>
  <si>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</si>
  <si>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</si>
  <si>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</si>
  <si>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</si>
  <si>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</si>
  <si>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</si>
  <si>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</si>
  <si>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</si>
  <si>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</si>
  <si>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</si>
  <si>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</si>
  <si>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</si>
  <si>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</si>
  <si>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</si>
  <si>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</si>
  <si>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</si>
  <si>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</si>
  <si>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</si>
  <si>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</si>
  <si>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</si>
  <si>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</si>
  <si>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</si>
  <si>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</si>
  <si>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</si>
  <si>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</si>
  <si>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</si>
  <si>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</si>
  <si>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</si>
  <si>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</si>
  <si>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</si>
  <si>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</si>
  <si>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</si>
  <si>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</si>
  <si>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</si>
  <si>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</si>
  <si>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</si>
  <si>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</si>
  <si>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</si>
  <si>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</si>
  <si>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</si>
  <si>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</si>
  <si>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</si>
  <si>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</si>
  <si>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</si>
  <si>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</si>
  <si>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</si>
  <si>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</si>
  <si>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</si>
  <si>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</si>
  <si>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</si>
  <si>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</si>
  <si>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</si>
  <si>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</si>
  <si>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</si>
  <si>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</si>
  <si>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</si>
  <si>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</si>
  <si>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</si>
  <si>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</si>
  <si>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</si>
  <si>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</si>
  <si>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</si>
  <si>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</si>
  <si>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</si>
  <si>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</si>
  <si>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</si>
  <si>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</si>
  <si>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</si>
  <si>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</si>
  <si>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</si>
  <si>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</si>
  <si>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</si>
  <si>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</si>
  <si>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</si>
  <si>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</si>
  <si>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</si>
  <si>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</si>
  <si>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</si>
  <si>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</si>
  <si>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</si>
  <si>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</si>
  <si>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</si>
  <si>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</si>
  <si>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</si>
  <si>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</si>
  <si>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</si>
  <si>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</si>
  <si>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</si>
  <si>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</si>
  <si>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</si>
  <si>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</si>
  <si>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</si>
  <si>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</si>
  <si>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</si>
  <si>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</si>
  <si>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</si>
  <si>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</si>
  <si>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</si>
  <si>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</si>
  <si>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</si>
  <si>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</si>
  <si>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</si>
  <si>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</si>
  <si>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</si>
  <si>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</si>
  <si>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</si>
  <si>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</si>
  <si>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</si>
  <si>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</si>
  <si>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</si>
  <si>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</si>
  <si>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</si>
  <si>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</si>
  <si>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</si>
  <si>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</si>
  <si>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</si>
  <si>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</si>
  <si>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</si>
  <si>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</si>
  <si>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</si>
  <si>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</si>
  <si>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</si>
  <si>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</si>
  <si>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</si>
  <si>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</si>
  <si>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</si>
  <si>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</si>
  <si>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</si>
  <si>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</si>
  <si>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</si>
  <si>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</si>
  <si>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</si>
  <si>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</si>
  <si>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</si>
  <si>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</si>
  <si>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</si>
  <si>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</si>
  <si>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</si>
  <si>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</si>
  <si>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</si>
  <si>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</si>
  <si>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</si>
  <si>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</si>
  <si>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</si>
  <si>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</si>
  <si>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</si>
  <si>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</si>
  <si>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</si>
  <si>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</si>
  <si>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</si>
  <si>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</si>
  <si>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</si>
  <si>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</si>
  <si>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</si>
  <si>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</si>
  <si>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</si>
  <si>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</si>
  <si>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</si>
  <si>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</si>
  <si>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</si>
  <si>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</si>
  <si>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</si>
  <si>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</si>
  <si>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</si>
  <si>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</si>
  <si>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</si>
  <si>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</si>
  <si>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</si>
  <si>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</si>
  <si>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</si>
  <si>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</si>
  <si>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</si>
  <si>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</si>
  <si>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</si>
  <si>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</si>
  <si>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</si>
  <si>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</si>
  <si>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</si>
  <si>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</si>
  <si>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</si>
  <si>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</si>
  <si>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</si>
  <si>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</si>
  <si>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</si>
  <si>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</si>
  <si>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</si>
  <si>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</si>
  <si>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</si>
  <si>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</si>
  <si>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</si>
  <si>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</si>
  <si>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</si>
  <si>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</si>
  <si>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</si>
  <si>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</si>
  <si>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</si>
  <si>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</si>
  <si>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</si>
  <si>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</si>
  <si>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</si>
  <si>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</si>
  <si>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</si>
  <si>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</si>
  <si>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</si>
  <si>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</si>
  <si>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</si>
  <si>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</si>
  <si>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</si>
  <si>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</si>
  <si>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</si>
  <si>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</si>
  <si>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</si>
  <si>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</si>
  <si>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</si>
  <si>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</si>
  <si>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</si>
  <si>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</si>
  <si>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</si>
  <si>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</si>
  <si>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</si>
  <si>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</si>
  <si>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</si>
  <si>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</si>
  <si>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100005</t>
  </si>
  <si>
    <t>102032</t>
  </si>
  <si>
    <t>桐生市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</si>
  <si>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</si>
  <si>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</si>
  <si>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</si>
  <si>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</si>
  <si>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</si>
  <si>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</si>
  <si>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</si>
  <si>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</si>
  <si>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</si>
  <si>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</si>
  <si>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</si>
  <si>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</si>
  <si>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</si>
  <si>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</si>
  <si>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</si>
  <si>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</si>
  <si>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</si>
  <si>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</si>
  <si>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</si>
  <si>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</si>
  <si>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</si>
  <si>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</si>
  <si>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</si>
  <si>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</si>
  <si>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</si>
  <si>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</si>
  <si>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</si>
  <si>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</si>
  <si>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</si>
  <si>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</si>
  <si>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</si>
  <si>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</si>
  <si>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</si>
  <si>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</si>
  <si>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</si>
  <si>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</si>
  <si>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</si>
  <si>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</si>
  <si>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</si>
  <si>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</si>
  <si>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</si>
  <si>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</si>
  <si>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</si>
  <si>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</si>
  <si>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</si>
  <si>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</si>
  <si>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</si>
  <si>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</si>
  <si>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</si>
  <si>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</si>
  <si>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</si>
  <si>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</si>
  <si>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</si>
  <si>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</si>
  <si>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</si>
  <si>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</si>
  <si>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</si>
  <si>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</si>
  <si>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</si>
  <si>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</si>
  <si>
    <t>112062</t>
  </si>
  <si>
    <t>行田市</t>
  </si>
  <si>
    <t>112071</t>
  </si>
  <si>
    <t>秩父市</t>
  </si>
  <si>
    <t>112097</t>
  </si>
  <si>
    <t>飯能市</t>
  </si>
  <si>
    <t>112101</t>
  </si>
  <si>
    <t>加須市</t>
  </si>
  <si>
    <t>112119</t>
  </si>
  <si>
    <t>本庄市</t>
  </si>
  <si>
    <t>112127</t>
  </si>
  <si>
    <t>東松山市</t>
  </si>
  <si>
    <t>112151</t>
  </si>
  <si>
    <t>狭山市</t>
  </si>
  <si>
    <t>112160</t>
  </si>
  <si>
    <t>羽生市</t>
  </si>
  <si>
    <t>112178</t>
  </si>
  <si>
    <t>鴻巣市</t>
  </si>
  <si>
    <t>112186</t>
  </si>
  <si>
    <t>深谷市</t>
  </si>
  <si>
    <t>112194</t>
  </si>
  <si>
    <t>上尾市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</si>
  <si>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</si>
  <si>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</si>
  <si>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</si>
  <si>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</si>
  <si>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</si>
  <si>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</si>
  <si>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</si>
  <si>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</si>
  <si>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</si>
  <si>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</si>
  <si>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</si>
  <si>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</si>
  <si>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</si>
  <si>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</si>
  <si>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</si>
  <si>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</si>
  <si>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</si>
  <si>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</si>
  <si>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</si>
  <si>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</si>
  <si>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</si>
  <si>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</si>
  <si>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</si>
  <si>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</si>
  <si>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</si>
  <si>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</si>
  <si>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</si>
  <si>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</si>
  <si>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</si>
  <si>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</si>
  <si>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</si>
  <si>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</si>
  <si>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</si>
  <si>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</si>
  <si>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</si>
  <si>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</si>
  <si>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</si>
  <si>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</si>
  <si>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</si>
  <si>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</si>
  <si>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</si>
  <si>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rPh sb="0" eb="2">
      <t>シラオカ</t>
    </rPh>
    <rPh sb="2" eb="3">
      <t>シ</t>
    </rPh>
    <phoneticPr fontId="5"/>
  </si>
  <si>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</si>
  <si>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</si>
  <si>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</si>
  <si>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</si>
  <si>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</si>
  <si>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</si>
  <si>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</si>
  <si>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</si>
  <si>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</si>
  <si>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</si>
  <si>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</si>
  <si>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</si>
  <si>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</si>
  <si>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</si>
  <si>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</si>
  <si>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</si>
  <si>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</si>
  <si>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</si>
  <si>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</si>
  <si>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</si>
  <si>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</si>
  <si>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</si>
  <si>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</si>
  <si>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</si>
  <si>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</si>
  <si>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</si>
  <si>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</si>
  <si>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</si>
  <si>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</si>
  <si>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</si>
  <si>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</si>
  <si>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</si>
  <si>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</si>
  <si>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</si>
  <si>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</si>
  <si>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</si>
  <si>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</si>
  <si>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</si>
  <si>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</si>
  <si>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</si>
  <si>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</si>
  <si>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</si>
  <si>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</si>
  <si>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</si>
  <si>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</si>
  <si>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120006</t>
  </si>
  <si>
    <t>122025</t>
  </si>
  <si>
    <t>銚子市</t>
  </si>
  <si>
    <t>122033</t>
  </si>
  <si>
    <t>市川市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</si>
  <si>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</si>
  <si>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</si>
  <si>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</si>
  <si>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</si>
  <si>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</si>
  <si>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</si>
  <si>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</si>
  <si>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</si>
  <si>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</si>
  <si>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</si>
  <si>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</si>
  <si>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</si>
  <si>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</si>
  <si>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</si>
  <si>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</si>
  <si>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</si>
  <si>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</si>
  <si>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</si>
  <si>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</si>
  <si>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</si>
  <si>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</si>
  <si>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</si>
  <si>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</si>
  <si>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</si>
  <si>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</si>
  <si>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</si>
  <si>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</si>
  <si>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</si>
  <si>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</si>
  <si>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</si>
  <si>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</si>
  <si>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</si>
  <si>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</si>
  <si>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</si>
  <si>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</si>
  <si>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</si>
  <si>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</si>
  <si>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</si>
  <si>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</si>
  <si>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</si>
  <si>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</si>
  <si>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</si>
  <si>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</si>
  <si>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</si>
  <si>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</si>
  <si>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</si>
  <si>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</si>
  <si>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</si>
  <si>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</si>
  <si>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</si>
  <si>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</si>
  <si>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</si>
  <si>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</si>
  <si>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</si>
  <si>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</si>
  <si>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</si>
  <si>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</si>
  <si>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</si>
  <si>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</si>
  <si>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</si>
  <si>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</si>
  <si>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</si>
  <si>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</si>
  <si>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rPh sb="4" eb="5">
      <t>シ</t>
    </rPh>
    <phoneticPr fontId="5"/>
  </si>
  <si>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</si>
  <si>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</si>
  <si>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</si>
  <si>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</si>
  <si>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</si>
  <si>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</si>
  <si>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</si>
  <si>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</si>
  <si>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</si>
  <si>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</si>
  <si>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</si>
  <si>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</si>
  <si>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</si>
  <si>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</si>
  <si>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</si>
  <si>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</si>
  <si>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</si>
  <si>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</si>
  <si>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</si>
  <si>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</si>
  <si>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</si>
  <si>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</si>
  <si>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</si>
  <si>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</si>
  <si>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</si>
  <si>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</si>
  <si>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</si>
  <si>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</si>
  <si>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</si>
  <si>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</si>
  <si>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</si>
  <si>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</si>
  <si>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</si>
  <si>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</si>
  <si>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130001</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</si>
  <si>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</si>
  <si>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</si>
  <si>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</si>
  <si>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</si>
  <si>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</si>
  <si>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</si>
  <si>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</si>
  <si>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</si>
  <si>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</si>
  <si>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</si>
  <si>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</si>
  <si>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</si>
  <si>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</si>
  <si>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</si>
  <si>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</si>
  <si>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</si>
  <si>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</si>
  <si>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</si>
  <si>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</si>
  <si>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</si>
  <si>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</si>
  <si>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</si>
  <si>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</si>
  <si>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</si>
  <si>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</si>
  <si>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</si>
  <si>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</si>
  <si>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</si>
  <si>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</si>
  <si>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</si>
  <si>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</si>
  <si>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</si>
  <si>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</si>
  <si>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</si>
  <si>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</si>
  <si>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</si>
  <si>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</si>
  <si>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</si>
  <si>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</si>
  <si>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</si>
  <si>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</si>
  <si>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</si>
  <si>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</si>
  <si>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</si>
  <si>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</si>
  <si>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</si>
  <si>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</si>
  <si>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</si>
  <si>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</si>
  <si>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</si>
  <si>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</si>
  <si>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</si>
  <si>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</si>
  <si>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</si>
  <si>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</si>
  <si>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</si>
  <si>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</si>
  <si>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</si>
  <si>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</si>
  <si>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</si>
  <si>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</si>
  <si>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</si>
  <si>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</si>
  <si>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</si>
  <si>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</si>
  <si>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</si>
  <si>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</si>
  <si>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</si>
  <si>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</si>
  <si>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</si>
  <si>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</si>
  <si>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</si>
  <si>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</si>
  <si>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</si>
  <si>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</si>
  <si>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</si>
  <si>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</si>
  <si>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142042</t>
  </si>
  <si>
    <t>鎌倉市</t>
  </si>
  <si>
    <t>142051</t>
  </si>
  <si>
    <t>藤沢市</t>
  </si>
  <si>
    <t>142085</t>
  </si>
  <si>
    <t>逗子市</t>
  </si>
  <si>
    <t>142107</t>
  </si>
  <si>
    <t>三浦市</t>
  </si>
  <si>
    <t>142115</t>
  </si>
  <si>
    <t>秦野市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</si>
  <si>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</si>
  <si>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</si>
  <si>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</si>
  <si>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</si>
  <si>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</si>
  <si>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</si>
  <si>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</si>
  <si>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</si>
  <si>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</si>
  <si>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</si>
  <si>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</si>
  <si>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</si>
  <si>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</si>
  <si>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</si>
  <si>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</si>
  <si>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</si>
  <si>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</si>
  <si>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</si>
  <si>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</si>
  <si>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</si>
  <si>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</si>
  <si>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</si>
  <si>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</si>
  <si>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</si>
  <si>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</si>
  <si>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</si>
  <si>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</si>
  <si>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</si>
  <si>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</si>
  <si>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</si>
  <si>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</si>
  <si>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</si>
  <si>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</si>
  <si>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</si>
  <si>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</si>
  <si>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</si>
  <si>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</si>
  <si>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</si>
  <si>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150002</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</si>
  <si>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</si>
  <si>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</si>
  <si>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</si>
  <si>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</si>
  <si>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</si>
  <si>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</si>
  <si>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</si>
  <si>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</si>
  <si>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</si>
  <si>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</si>
  <si>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</si>
  <si>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</si>
  <si>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</si>
  <si>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</si>
  <si>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</si>
  <si>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</si>
  <si>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</si>
  <si>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</si>
  <si>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</si>
  <si>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</si>
  <si>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</si>
  <si>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</si>
  <si>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</si>
  <si>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</si>
  <si>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</si>
  <si>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</si>
  <si>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</si>
  <si>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</si>
  <si>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</si>
  <si>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</si>
  <si>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</si>
  <si>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</si>
  <si>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</si>
  <si>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</si>
  <si>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</si>
  <si>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</si>
  <si>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</si>
  <si>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</si>
  <si>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</si>
  <si>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</si>
  <si>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</si>
  <si>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</si>
  <si>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</si>
  <si>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</si>
  <si>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</si>
  <si>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</si>
  <si>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</si>
  <si>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</si>
  <si>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</si>
  <si>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</si>
  <si>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</si>
  <si>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</si>
  <si>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</si>
  <si>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</si>
  <si>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160008</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</si>
  <si>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</si>
  <si>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</si>
  <si>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</si>
  <si>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</si>
  <si>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</si>
  <si>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</si>
  <si>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</si>
  <si>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</si>
  <si>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</si>
  <si>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</si>
  <si>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</si>
  <si>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</si>
  <si>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</si>
  <si>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</si>
  <si>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</si>
  <si>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</si>
  <si>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</si>
  <si>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</si>
  <si>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</si>
  <si>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</si>
  <si>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</si>
  <si>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</si>
  <si>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</si>
  <si>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</si>
  <si>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</si>
  <si>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</si>
  <si>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</si>
  <si>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</si>
  <si>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</si>
  <si>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</si>
  <si>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</si>
  <si>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</si>
  <si>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</si>
  <si>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</si>
  <si>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</si>
  <si>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</si>
  <si>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</si>
  <si>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</si>
  <si>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</si>
  <si>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</si>
  <si>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</si>
  <si>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</si>
  <si>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</si>
  <si>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</si>
  <si>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</si>
  <si>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</si>
  <si>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</si>
  <si>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</si>
  <si>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</si>
  <si>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</si>
  <si>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</si>
  <si>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</si>
  <si>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</si>
  <si>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</si>
  <si>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</si>
  <si>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</si>
  <si>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</si>
  <si>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</si>
  <si>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</si>
  <si>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</si>
  <si>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</si>
  <si>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</si>
  <si>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</si>
  <si>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</si>
  <si>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</si>
  <si>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</si>
  <si>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</si>
  <si>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</si>
  <si>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</si>
  <si>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</si>
  <si>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</si>
  <si>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</si>
  <si>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</si>
  <si>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</si>
  <si>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</si>
  <si>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</si>
  <si>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</si>
  <si>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</si>
  <si>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</si>
  <si>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</si>
  <si>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</si>
  <si>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</si>
  <si>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</si>
  <si>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</si>
  <si>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</si>
  <si>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</si>
  <si>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</si>
  <si>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</si>
  <si>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</si>
  <si>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</si>
  <si>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</si>
  <si>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</si>
  <si>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</si>
  <si>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</si>
  <si>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</si>
  <si>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</si>
  <si>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</si>
  <si>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</si>
  <si>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</si>
  <si>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</si>
  <si>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</si>
  <si>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</si>
  <si>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</si>
  <si>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</si>
  <si>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</si>
  <si>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</si>
  <si>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</si>
  <si>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</si>
  <si>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</si>
  <si>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</si>
  <si>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</si>
  <si>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</si>
  <si>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</si>
  <si>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</si>
  <si>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</si>
  <si>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</si>
  <si>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</si>
  <si>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</si>
  <si>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</si>
  <si>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</si>
  <si>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</si>
  <si>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</si>
  <si>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</si>
  <si>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</si>
  <si>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</si>
  <si>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</si>
  <si>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</si>
  <si>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</si>
  <si>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</si>
  <si>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</si>
  <si>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</si>
  <si>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</si>
  <si>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</si>
  <si>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</si>
  <si>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</si>
  <si>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</si>
  <si>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</si>
  <si>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</si>
  <si>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</si>
  <si>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</si>
  <si>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</si>
  <si>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</si>
  <si>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</si>
  <si>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</si>
  <si>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</si>
  <si>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</si>
  <si>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</si>
  <si>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</si>
  <si>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</si>
  <si>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</si>
  <si>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</si>
  <si>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</si>
  <si>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</si>
  <si>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</si>
  <si>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</si>
  <si>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</si>
  <si>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</si>
  <si>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</si>
  <si>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</si>
  <si>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</si>
  <si>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</si>
  <si>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</si>
  <si>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</si>
  <si>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</si>
  <si>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</si>
  <si>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</si>
  <si>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</si>
  <si>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</si>
  <si>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</si>
  <si>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</si>
  <si>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</si>
  <si>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</si>
  <si>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</si>
  <si>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</si>
  <si>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</si>
  <si>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</si>
  <si>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</si>
  <si>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</si>
  <si>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</si>
  <si>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</si>
  <si>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</si>
  <si>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</si>
  <si>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</si>
  <si>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</si>
  <si>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</si>
  <si>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</si>
  <si>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</si>
  <si>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</si>
  <si>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</si>
  <si>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</si>
  <si>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</si>
  <si>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</si>
  <si>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</si>
  <si>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</si>
  <si>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</si>
  <si>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</si>
  <si>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</si>
  <si>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</si>
  <si>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</si>
  <si>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</si>
  <si>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</si>
  <si>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</si>
  <si>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</si>
  <si>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</si>
  <si>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</si>
  <si>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</si>
  <si>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</si>
  <si>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</si>
  <si>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</si>
  <si>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</si>
  <si>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</si>
  <si>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</si>
  <si>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</si>
  <si>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</si>
  <si>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</si>
  <si>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</si>
  <si>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</si>
  <si>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</si>
  <si>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</si>
  <si>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</si>
  <si>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</si>
  <si>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</si>
  <si>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</si>
  <si>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</si>
  <si>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</si>
  <si>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</si>
  <si>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</si>
  <si>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</si>
  <si>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</si>
  <si>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</si>
  <si>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</si>
  <si>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</si>
  <si>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</si>
  <si>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</si>
  <si>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</si>
  <si>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</si>
  <si>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</si>
  <si>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</si>
  <si>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</si>
  <si>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</si>
  <si>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</si>
  <si>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</si>
  <si>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</si>
  <si>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</si>
  <si>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</si>
  <si>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</si>
  <si>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</si>
  <si>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</si>
  <si>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</si>
  <si>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</si>
  <si>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</si>
  <si>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</si>
  <si>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</si>
  <si>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</si>
  <si>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</si>
  <si>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</si>
  <si>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</si>
  <si>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</si>
  <si>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</si>
  <si>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</si>
  <si>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</si>
  <si>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</si>
  <si>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</si>
  <si>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</si>
  <si>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</si>
  <si>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</si>
  <si>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</si>
  <si>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</si>
  <si>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</si>
  <si>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</si>
  <si>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</si>
  <si>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</si>
  <si>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</si>
  <si>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</si>
  <si>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</si>
  <si>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</si>
  <si>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</si>
  <si>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</si>
  <si>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</si>
  <si>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</si>
  <si>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</si>
  <si>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</si>
  <si>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</si>
  <si>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</si>
  <si>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</si>
  <si>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</si>
  <si>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</si>
  <si>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</si>
  <si>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</si>
  <si>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</si>
  <si>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</si>
  <si>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</si>
  <si>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</si>
  <si>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</si>
  <si>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</si>
  <si>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</si>
  <si>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</si>
  <si>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</si>
  <si>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</si>
  <si>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</si>
  <si>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</si>
  <si>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</si>
  <si>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</si>
  <si>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</si>
  <si>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</si>
  <si>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</si>
  <si>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</si>
  <si>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</si>
  <si>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</si>
  <si>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</si>
  <si>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</si>
  <si>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</si>
  <si>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</si>
  <si>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</si>
  <si>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</si>
  <si>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</si>
  <si>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</si>
  <si>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</si>
  <si>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</si>
  <si>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</si>
  <si>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</si>
  <si>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</si>
  <si>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</si>
  <si>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</si>
  <si>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</si>
  <si>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</si>
  <si>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</si>
  <si>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</si>
  <si>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</si>
  <si>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</si>
  <si>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</si>
  <si>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</si>
  <si>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</si>
  <si>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</si>
  <si>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</si>
  <si>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</si>
  <si>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</si>
  <si>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</si>
  <si>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</si>
  <si>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</si>
  <si>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</si>
  <si>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</si>
  <si>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</si>
  <si>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</si>
  <si>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</si>
  <si>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</si>
  <si>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</si>
  <si>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</si>
  <si>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</si>
  <si>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</si>
  <si>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</si>
  <si>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</si>
  <si>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</si>
  <si>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</si>
  <si>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</si>
  <si>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</si>
  <si>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</si>
  <si>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</si>
  <si>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</si>
  <si>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</si>
  <si>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</si>
  <si>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</si>
  <si>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</si>
  <si>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</si>
  <si>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</si>
  <si>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</si>
  <si>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</si>
  <si>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</si>
  <si>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</si>
  <si>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</si>
  <si>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</si>
  <si>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</si>
  <si>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</si>
  <si>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</si>
  <si>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</si>
  <si>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</si>
  <si>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</si>
  <si>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</si>
  <si>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220001</t>
  </si>
  <si>
    <t>222054</t>
  </si>
  <si>
    <t>熱海市</t>
  </si>
  <si>
    <t>222062</t>
  </si>
  <si>
    <t>三島市</t>
  </si>
  <si>
    <t>222071</t>
  </si>
  <si>
    <t>富士宮市</t>
  </si>
  <si>
    <t>222089</t>
  </si>
  <si>
    <t>伊東市</t>
  </si>
  <si>
    <t>222097</t>
  </si>
  <si>
    <t>島田市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</si>
  <si>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</si>
  <si>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</si>
  <si>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</si>
  <si>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</si>
  <si>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</si>
  <si>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</si>
  <si>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</si>
  <si>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</si>
  <si>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</si>
  <si>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</si>
  <si>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</si>
  <si>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</si>
  <si>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</si>
  <si>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</si>
  <si>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</si>
  <si>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</si>
  <si>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</si>
  <si>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</si>
  <si>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</si>
  <si>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</si>
  <si>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</si>
  <si>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</si>
  <si>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</si>
  <si>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</si>
  <si>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</si>
  <si>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</si>
  <si>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</si>
  <si>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</si>
  <si>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</si>
  <si>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</si>
  <si>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</si>
  <si>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</si>
  <si>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</si>
  <si>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</si>
  <si>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</si>
  <si>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</si>
  <si>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</si>
  <si>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</si>
  <si>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</si>
  <si>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</si>
  <si>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</si>
  <si>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</si>
  <si>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</si>
  <si>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</si>
  <si>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</si>
  <si>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</si>
  <si>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</si>
  <si>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</si>
  <si>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</si>
  <si>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</si>
  <si>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230006</t>
  </si>
  <si>
    <t>232041</t>
  </si>
  <si>
    <t>瀬戸市</t>
  </si>
  <si>
    <t>232050</t>
  </si>
  <si>
    <t>半田市</t>
  </si>
  <si>
    <t>232076</t>
  </si>
  <si>
    <t>豊川市</t>
  </si>
  <si>
    <t>232084</t>
  </si>
  <si>
    <t>津島市</t>
  </si>
  <si>
    <t>232092</t>
  </si>
  <si>
    <t>碧南市</t>
  </si>
  <si>
    <t>232106</t>
  </si>
  <si>
    <t>刈谷市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</si>
  <si>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</si>
  <si>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</si>
  <si>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</si>
  <si>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</si>
  <si>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</si>
  <si>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</si>
  <si>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</si>
  <si>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</si>
  <si>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</si>
  <si>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</si>
  <si>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</si>
  <si>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</si>
  <si>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</si>
  <si>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</si>
  <si>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</si>
  <si>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</si>
  <si>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</si>
  <si>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</si>
  <si>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</si>
  <si>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</si>
  <si>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</si>
  <si>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</si>
  <si>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</si>
  <si>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</si>
  <si>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</si>
  <si>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</si>
  <si>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</si>
  <si>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</si>
  <si>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</si>
  <si>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</si>
  <si>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</si>
  <si>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</si>
  <si>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</si>
  <si>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</si>
  <si>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</si>
  <si>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</si>
  <si>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</si>
  <si>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</si>
  <si>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</si>
  <si>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</si>
  <si>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</si>
  <si>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</si>
  <si>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</si>
  <si>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</si>
  <si>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</si>
  <si>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</si>
  <si>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</si>
  <si>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</si>
  <si>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</si>
  <si>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</si>
  <si>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</si>
  <si>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</si>
  <si>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</si>
  <si>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</si>
  <si>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</si>
  <si>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</si>
  <si>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</si>
  <si>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</si>
  <si>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</si>
  <si>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</si>
  <si>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</si>
  <si>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</si>
  <si>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</si>
  <si>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</si>
  <si>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</si>
  <si>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</si>
  <si>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</si>
  <si>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</si>
  <si>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</si>
  <si>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</si>
  <si>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</si>
  <si>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</si>
  <si>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</si>
  <si>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</si>
  <si>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</si>
  <si>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</si>
  <si>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</si>
  <si>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</si>
  <si>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</si>
  <si>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</si>
  <si>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</si>
  <si>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</si>
  <si>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</si>
  <si>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240001</t>
  </si>
  <si>
    <t>242012</t>
  </si>
  <si>
    <t>津市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</si>
  <si>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</si>
  <si>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</si>
  <si>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</si>
  <si>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</si>
  <si>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</si>
  <si>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</si>
  <si>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</si>
  <si>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</si>
  <si>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</si>
  <si>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</si>
  <si>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</si>
  <si>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</si>
  <si>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</si>
  <si>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</si>
  <si>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</si>
  <si>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</si>
  <si>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</si>
  <si>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</si>
  <si>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</si>
  <si>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</si>
  <si>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</si>
  <si>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</si>
  <si>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</si>
  <si>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</si>
  <si>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</si>
  <si>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</si>
  <si>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</si>
  <si>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</si>
  <si>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</si>
  <si>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</si>
  <si>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</si>
  <si>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</si>
  <si>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</si>
  <si>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</si>
  <si>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</si>
  <si>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</si>
  <si>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</si>
  <si>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</si>
  <si>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</si>
  <si>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</si>
  <si>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</si>
  <si>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</si>
  <si>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</si>
  <si>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</si>
  <si>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</si>
  <si>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</si>
  <si>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</si>
  <si>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</si>
  <si>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</si>
  <si>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</si>
  <si>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</si>
  <si>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</si>
  <si>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250007</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</si>
  <si>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</si>
  <si>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</si>
  <si>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</si>
  <si>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</si>
  <si>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</si>
  <si>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</si>
  <si>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</si>
  <si>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</si>
  <si>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</si>
  <si>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</si>
  <si>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</si>
  <si>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</si>
  <si>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</si>
  <si>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</si>
  <si>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</si>
  <si>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</si>
  <si>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</si>
  <si>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</si>
  <si>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</si>
  <si>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</si>
  <si>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</si>
  <si>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</si>
  <si>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</si>
  <si>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</si>
  <si>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</si>
  <si>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</si>
  <si>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</si>
  <si>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</si>
  <si>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</si>
  <si>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</si>
  <si>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</si>
  <si>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</si>
  <si>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</si>
  <si>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</si>
  <si>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</si>
  <si>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</si>
  <si>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260002</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</si>
  <si>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</si>
  <si>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</si>
  <si>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</si>
  <si>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</si>
  <si>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</si>
  <si>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</si>
  <si>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</si>
  <si>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</si>
  <si>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</si>
  <si>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</si>
  <si>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</si>
  <si>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</si>
  <si>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</si>
  <si>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</si>
  <si>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</si>
  <si>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</si>
  <si>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</si>
  <si>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</si>
  <si>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</si>
  <si>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</si>
  <si>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</si>
  <si>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</si>
  <si>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</si>
  <si>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</si>
  <si>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</si>
  <si>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</si>
  <si>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</si>
  <si>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</si>
  <si>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</si>
  <si>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</si>
  <si>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</si>
  <si>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</si>
  <si>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</si>
  <si>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</si>
  <si>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</si>
  <si>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</si>
  <si>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</si>
  <si>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</si>
  <si>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</si>
  <si>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</si>
  <si>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</si>
  <si>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</si>
  <si>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</si>
  <si>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</si>
  <si>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</si>
  <si>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</si>
  <si>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</si>
  <si>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</si>
  <si>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</si>
  <si>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</si>
  <si>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270008</t>
  </si>
  <si>
    <t>272043</t>
  </si>
  <si>
    <t>池田市</t>
  </si>
  <si>
    <t>272060</t>
  </si>
  <si>
    <t>泉大津市</t>
  </si>
  <si>
    <t>272086</t>
  </si>
  <si>
    <t>貝塚市</t>
  </si>
  <si>
    <t>272094</t>
  </si>
  <si>
    <t>守口市</t>
  </si>
  <si>
    <t>272132</t>
  </si>
  <si>
    <t>泉佐野市</t>
  </si>
  <si>
    <t>272141</t>
  </si>
  <si>
    <t>富田林市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</si>
  <si>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</si>
  <si>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</si>
  <si>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</si>
  <si>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</si>
  <si>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</si>
  <si>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</si>
  <si>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</si>
  <si>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</si>
  <si>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</si>
  <si>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</si>
  <si>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</si>
  <si>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</si>
  <si>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</si>
  <si>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</si>
  <si>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</si>
  <si>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</si>
  <si>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</si>
  <si>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</si>
  <si>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</si>
  <si>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</si>
  <si>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</si>
  <si>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</si>
  <si>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</si>
  <si>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</si>
  <si>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</si>
  <si>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</si>
  <si>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</si>
  <si>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</si>
  <si>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</si>
  <si>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</si>
  <si>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</si>
  <si>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</si>
  <si>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</si>
  <si>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</si>
  <si>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</si>
  <si>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</si>
  <si>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</si>
  <si>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</si>
  <si>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</si>
  <si>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</si>
  <si>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</si>
  <si>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</si>
  <si>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</si>
  <si>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</si>
  <si>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</si>
  <si>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</si>
  <si>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</si>
  <si>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</si>
  <si>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</si>
  <si>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</si>
  <si>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</si>
  <si>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</si>
  <si>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280003</t>
  </si>
  <si>
    <t>282057</t>
  </si>
  <si>
    <t>洲本市</t>
  </si>
  <si>
    <t>282065</t>
  </si>
  <si>
    <t>芦屋市</t>
  </si>
  <si>
    <t>282073</t>
  </si>
  <si>
    <t>伊丹市</t>
  </si>
  <si>
    <t>282081</t>
  </si>
  <si>
    <t>相生市</t>
  </si>
  <si>
    <t>282090</t>
  </si>
  <si>
    <t>豊岡市</t>
  </si>
  <si>
    <t>282120</t>
  </si>
  <si>
    <t>赤穂市</t>
  </si>
  <si>
    <t>282138</t>
  </si>
  <si>
    <t>西脇市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</si>
  <si>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</si>
  <si>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</si>
  <si>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</si>
  <si>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</si>
  <si>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</si>
  <si>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</si>
  <si>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</si>
  <si>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</si>
  <si>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</si>
  <si>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</si>
  <si>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</si>
  <si>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</si>
  <si>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</si>
  <si>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5"/>
  </si>
  <si>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</si>
  <si>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</si>
  <si>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</si>
  <si>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</si>
  <si>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</si>
  <si>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</si>
  <si>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</si>
  <si>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</si>
  <si>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</si>
  <si>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</si>
  <si>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</si>
  <si>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</si>
  <si>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</si>
  <si>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</si>
  <si>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</si>
  <si>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</si>
  <si>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</si>
  <si>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</si>
  <si>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</si>
  <si>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</si>
  <si>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</si>
  <si>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</si>
  <si>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</si>
  <si>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</si>
  <si>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</si>
  <si>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</si>
  <si>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</si>
  <si>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</si>
  <si>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</si>
  <si>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</si>
  <si>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</si>
  <si>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</si>
  <si>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</si>
  <si>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</si>
  <si>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</si>
  <si>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</si>
  <si>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</si>
  <si>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</si>
  <si>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</si>
  <si>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</si>
  <si>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</si>
  <si>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</si>
  <si>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</si>
  <si>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</si>
  <si>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</si>
  <si>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</si>
  <si>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</si>
  <si>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</si>
  <si>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</si>
  <si>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</si>
  <si>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</si>
  <si>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</si>
  <si>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</si>
  <si>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</si>
  <si>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</si>
  <si>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</si>
  <si>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</si>
  <si>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</si>
  <si>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</si>
  <si>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</si>
  <si>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</si>
  <si>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</si>
  <si>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</si>
  <si>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</si>
  <si>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</si>
  <si>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</si>
  <si>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</si>
  <si>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</si>
  <si>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</si>
  <si>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</si>
  <si>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</si>
  <si>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</si>
  <si>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</si>
  <si>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</si>
  <si>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</si>
  <si>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</si>
  <si>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</si>
  <si>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</si>
  <si>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</si>
  <si>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</si>
  <si>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</si>
  <si>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</si>
  <si>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</si>
  <si>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</si>
  <si>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</si>
  <si>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</si>
  <si>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</si>
  <si>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</si>
  <si>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</si>
  <si>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</si>
  <si>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</si>
  <si>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</si>
  <si>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</si>
  <si>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</si>
  <si>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</si>
  <si>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</si>
  <si>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</si>
  <si>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</si>
  <si>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</si>
  <si>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</si>
  <si>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</si>
  <si>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</si>
  <si>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</si>
  <si>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</si>
  <si>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</si>
  <si>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</si>
  <si>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</si>
  <si>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</si>
  <si>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</si>
  <si>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</si>
  <si>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</si>
  <si>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</si>
  <si>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</si>
  <si>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</si>
  <si>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300004</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</si>
  <si>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</si>
  <si>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</si>
  <si>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</si>
  <si>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</si>
  <si>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</si>
  <si>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</si>
  <si>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</si>
  <si>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</si>
  <si>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</si>
  <si>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</si>
  <si>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</si>
  <si>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</si>
  <si>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</si>
  <si>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</si>
  <si>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</si>
  <si>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</si>
  <si>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</si>
  <si>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</si>
  <si>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</si>
  <si>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</si>
  <si>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</si>
  <si>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</si>
  <si>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</si>
  <si>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</si>
  <si>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</si>
  <si>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</si>
  <si>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</si>
  <si>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</si>
  <si>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</si>
  <si>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</si>
  <si>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</si>
  <si>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</si>
  <si>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</si>
  <si>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</si>
  <si>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</si>
  <si>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</si>
  <si>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</si>
  <si>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</si>
  <si>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</si>
  <si>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</si>
  <si>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</si>
  <si>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</si>
  <si>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</si>
  <si>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</si>
  <si>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</si>
  <si>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</si>
  <si>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</si>
  <si>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</si>
  <si>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</si>
  <si>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</si>
  <si>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</si>
  <si>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</si>
  <si>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</si>
  <si>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</si>
  <si>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</si>
  <si>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</si>
  <si>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</si>
  <si>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</si>
  <si>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</si>
  <si>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</si>
  <si>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</si>
  <si>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</si>
  <si>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</si>
  <si>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</si>
  <si>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</si>
  <si>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</si>
  <si>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</si>
  <si>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</si>
  <si>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</si>
  <si>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</si>
  <si>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</si>
  <si>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</si>
  <si>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</si>
  <si>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</si>
  <si>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</si>
  <si>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</si>
  <si>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</si>
  <si>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</si>
  <si>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</si>
  <si>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</si>
  <si>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</si>
  <si>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</si>
  <si>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</si>
  <si>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</si>
  <si>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</si>
  <si>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</si>
  <si>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</si>
  <si>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</si>
  <si>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</si>
  <si>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</si>
  <si>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</si>
  <si>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320005</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</si>
  <si>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</si>
  <si>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</si>
  <si>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</si>
  <si>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</si>
  <si>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</si>
  <si>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</si>
  <si>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</si>
  <si>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</si>
  <si>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</si>
  <si>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</si>
  <si>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</si>
  <si>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</si>
  <si>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</si>
  <si>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</si>
  <si>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</si>
  <si>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</si>
  <si>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</si>
  <si>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</si>
  <si>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</si>
  <si>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</si>
  <si>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</si>
  <si>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</si>
  <si>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</si>
  <si>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</si>
  <si>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</si>
  <si>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</si>
  <si>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</si>
  <si>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</si>
  <si>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</si>
  <si>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</si>
  <si>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</si>
  <si>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</si>
  <si>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</si>
  <si>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</si>
  <si>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</si>
  <si>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330001</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</si>
  <si>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</si>
  <si>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</si>
  <si>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</si>
  <si>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</si>
  <si>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</si>
  <si>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</si>
  <si>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</si>
  <si>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</si>
  <si>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</si>
  <si>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</si>
  <si>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</si>
  <si>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</si>
  <si>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</si>
  <si>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</si>
  <si>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</si>
  <si>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</si>
  <si>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</si>
  <si>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</si>
  <si>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</si>
  <si>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</si>
  <si>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</si>
  <si>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</si>
  <si>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</si>
  <si>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</si>
  <si>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</si>
  <si>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</si>
  <si>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</si>
  <si>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</si>
  <si>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</si>
  <si>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</si>
  <si>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</si>
  <si>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</si>
  <si>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</si>
  <si>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</si>
  <si>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</si>
  <si>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</si>
  <si>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</si>
  <si>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</si>
  <si>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</si>
  <si>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</si>
  <si>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</si>
  <si>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</si>
  <si>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</si>
  <si>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</si>
  <si>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</si>
  <si>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</si>
  <si>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</si>
  <si>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</si>
  <si>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</si>
  <si>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</si>
  <si>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</si>
  <si>
    <t>342033</t>
  </si>
  <si>
    <t>竹原市</t>
  </si>
  <si>
    <t>342041</t>
  </si>
  <si>
    <t>三原市</t>
  </si>
  <si>
    <t>342050</t>
  </si>
  <si>
    <t>尾道市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</si>
  <si>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</si>
  <si>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</si>
  <si>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</si>
  <si>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</si>
  <si>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</si>
  <si>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</si>
  <si>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</si>
  <si>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</si>
  <si>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</si>
  <si>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</si>
  <si>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</si>
  <si>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</si>
  <si>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</si>
  <si>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</si>
  <si>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</si>
  <si>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</si>
  <si>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</si>
  <si>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</si>
  <si>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</si>
  <si>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</si>
  <si>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</si>
  <si>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</si>
  <si>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</si>
  <si>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</si>
  <si>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</si>
  <si>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</si>
  <si>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</si>
  <si>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</si>
  <si>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</si>
  <si>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</si>
  <si>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</si>
  <si>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</si>
  <si>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</si>
  <si>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350001</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</si>
  <si>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</si>
  <si>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</si>
  <si>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</si>
  <si>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</si>
  <si>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</si>
  <si>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</si>
  <si>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</si>
  <si>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</si>
  <si>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</si>
  <si>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</si>
  <si>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</si>
  <si>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</si>
  <si>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</si>
  <si>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</si>
  <si>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</si>
  <si>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</si>
  <si>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</si>
  <si>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</si>
  <si>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</si>
  <si>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</si>
  <si>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</si>
  <si>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</si>
  <si>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</si>
  <si>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</si>
  <si>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</si>
  <si>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</si>
  <si>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</si>
  <si>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</si>
  <si>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</si>
  <si>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</si>
  <si>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</si>
  <si>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</si>
  <si>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</si>
  <si>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</si>
  <si>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</si>
  <si>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</si>
  <si>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</si>
  <si>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</si>
  <si>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</si>
  <si>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</si>
  <si>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</si>
  <si>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</si>
  <si>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</si>
  <si>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</si>
  <si>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</si>
  <si>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</si>
  <si>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</si>
  <si>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</si>
  <si>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</si>
  <si>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</si>
  <si>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</si>
  <si>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</si>
  <si>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</si>
  <si>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</si>
  <si>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</si>
  <si>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</si>
  <si>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</si>
  <si>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</si>
  <si>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</si>
  <si>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</si>
  <si>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</si>
  <si>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</si>
  <si>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</si>
  <si>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</si>
  <si>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</si>
  <si>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</si>
  <si>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</si>
  <si>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</si>
  <si>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</si>
  <si>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</si>
  <si>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</si>
  <si>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</si>
  <si>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</si>
  <si>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</si>
  <si>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</si>
  <si>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</si>
  <si>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</si>
  <si>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</si>
  <si>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</si>
  <si>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</si>
  <si>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</si>
  <si>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</si>
  <si>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</si>
  <si>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</si>
  <si>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</si>
  <si>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</si>
  <si>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</si>
  <si>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</si>
  <si>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</si>
  <si>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</si>
  <si>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</si>
  <si>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</si>
  <si>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</si>
  <si>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</si>
  <si>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</si>
  <si>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</si>
  <si>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</si>
  <si>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</si>
  <si>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</si>
  <si>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</si>
  <si>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</si>
  <si>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</si>
  <si>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</si>
  <si>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</si>
  <si>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</si>
  <si>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</si>
  <si>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</si>
  <si>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</si>
  <si>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</si>
  <si>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</si>
  <si>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</si>
  <si>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</si>
  <si>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</si>
  <si>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</si>
  <si>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</si>
  <si>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</si>
  <si>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</si>
  <si>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</si>
  <si>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380008</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</si>
  <si>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</si>
  <si>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</si>
  <si>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</si>
  <si>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</si>
  <si>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</si>
  <si>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</si>
  <si>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</si>
  <si>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</si>
  <si>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</si>
  <si>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</si>
  <si>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</si>
  <si>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</si>
  <si>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</si>
  <si>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</si>
  <si>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</si>
  <si>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</si>
  <si>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</si>
  <si>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</si>
  <si>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</si>
  <si>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</si>
  <si>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</si>
  <si>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</si>
  <si>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</si>
  <si>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</si>
  <si>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</si>
  <si>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</si>
  <si>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</si>
  <si>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</si>
  <si>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</si>
  <si>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</si>
  <si>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</si>
  <si>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</si>
  <si>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</si>
  <si>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</si>
  <si>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</si>
  <si>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</si>
  <si>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</si>
  <si>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</si>
  <si>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</si>
  <si>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</si>
  <si>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</si>
  <si>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</si>
  <si>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</si>
  <si>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</si>
  <si>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</si>
  <si>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</si>
  <si>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</si>
  <si>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</si>
  <si>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</si>
  <si>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</si>
  <si>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</si>
  <si>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</si>
  <si>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</si>
  <si>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</si>
  <si>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</si>
  <si>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</si>
  <si>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</si>
  <si>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</si>
  <si>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</si>
  <si>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</si>
  <si>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</si>
  <si>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</si>
  <si>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</si>
  <si>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</si>
  <si>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</si>
  <si>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</si>
  <si>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</si>
  <si>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</si>
  <si>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</si>
  <si>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</si>
  <si>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</si>
  <si>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</si>
  <si>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</si>
  <si>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</si>
  <si>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</si>
  <si>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</si>
  <si>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</si>
  <si>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</si>
  <si>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</si>
  <si>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</si>
  <si>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</si>
  <si>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</si>
  <si>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</si>
  <si>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</si>
  <si>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</si>
  <si>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</si>
  <si>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</si>
  <si>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</si>
  <si>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</si>
  <si>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</si>
  <si>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</si>
  <si>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</si>
  <si>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</si>
  <si>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</si>
  <si>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</si>
  <si>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</si>
  <si>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</si>
  <si>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</si>
  <si>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</si>
  <si>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</si>
  <si>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</si>
  <si>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</si>
  <si>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</si>
  <si>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</si>
  <si>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</si>
  <si>
    <t>402028</t>
  </si>
  <si>
    <t>大牟田市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</si>
  <si>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</si>
  <si>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</si>
  <si>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</si>
  <si>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</si>
  <si>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</si>
  <si>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</si>
  <si>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</si>
  <si>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</si>
  <si>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</si>
  <si>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</si>
  <si>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</si>
  <si>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</si>
  <si>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</si>
  <si>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</si>
  <si>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</si>
  <si>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</si>
  <si>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</si>
  <si>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</si>
  <si>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</si>
  <si>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</si>
  <si>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</si>
  <si>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</si>
  <si>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</si>
  <si>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</si>
  <si>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</si>
  <si>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</si>
  <si>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</si>
  <si>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</si>
  <si>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</si>
  <si>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</si>
  <si>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</si>
  <si>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</si>
  <si>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</si>
  <si>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</si>
  <si>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</si>
  <si>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</si>
  <si>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</si>
  <si>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</si>
  <si>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</si>
  <si>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</si>
  <si>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</si>
  <si>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</si>
  <si>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</si>
  <si>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</si>
  <si>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</si>
  <si>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</si>
  <si>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</si>
  <si>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</si>
  <si>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</si>
  <si>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福岡県</t>
    <rPh sb="0" eb="3">
      <t>フクオカケン</t>
    </rPh>
    <phoneticPr fontId="5"/>
  </si>
  <si>
    <t>那珂川市</t>
    <rPh sb="0" eb="3">
      <t>ナカガワ</t>
    </rPh>
    <rPh sb="3" eb="4">
      <t>シ</t>
    </rPh>
    <phoneticPr fontId="5"/>
  </si>
  <si>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</si>
  <si>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</si>
  <si>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</si>
  <si>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</si>
  <si>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</si>
  <si>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</si>
  <si>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</si>
  <si>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</si>
  <si>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</si>
  <si>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</si>
  <si>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</si>
  <si>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</si>
  <si>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</si>
  <si>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</si>
  <si>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</si>
  <si>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</si>
  <si>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</si>
  <si>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</si>
  <si>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</si>
  <si>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</si>
  <si>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</si>
  <si>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</si>
  <si>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</si>
  <si>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</si>
  <si>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</si>
  <si>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</si>
  <si>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</si>
  <si>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</si>
  <si>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</si>
  <si>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</si>
  <si>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</si>
  <si>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</si>
  <si>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</si>
  <si>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</si>
  <si>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</si>
  <si>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</si>
  <si>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</si>
  <si>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</si>
  <si>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</si>
  <si>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</si>
  <si>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</si>
  <si>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</si>
  <si>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</si>
  <si>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</si>
  <si>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</si>
  <si>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</si>
  <si>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</si>
  <si>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</si>
  <si>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</si>
  <si>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</si>
  <si>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</si>
  <si>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</si>
  <si>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</si>
  <si>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</si>
  <si>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</si>
  <si>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</si>
  <si>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</si>
  <si>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</si>
  <si>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</si>
  <si>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</si>
  <si>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410004</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</si>
  <si>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</si>
  <si>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</si>
  <si>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</si>
  <si>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</si>
  <si>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</si>
  <si>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</si>
  <si>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</si>
  <si>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</si>
  <si>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</si>
  <si>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</si>
  <si>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</si>
  <si>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</si>
  <si>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</si>
  <si>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</si>
  <si>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</si>
  <si>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</si>
  <si>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</si>
  <si>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</si>
  <si>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</si>
  <si>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</si>
  <si>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</si>
  <si>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</si>
  <si>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</si>
  <si>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</si>
  <si>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</si>
  <si>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</si>
  <si>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</si>
  <si>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</si>
  <si>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</si>
  <si>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</si>
  <si>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</si>
  <si>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</si>
  <si>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</si>
  <si>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</si>
  <si>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</si>
  <si>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</si>
  <si>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</si>
  <si>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</si>
  <si>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420000</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</si>
  <si>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</si>
  <si>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</si>
  <si>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</si>
  <si>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</si>
  <si>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</si>
  <si>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</si>
  <si>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</si>
  <si>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</si>
  <si>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</si>
  <si>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</si>
  <si>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</si>
  <si>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</si>
  <si>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</si>
  <si>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</si>
  <si>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</si>
  <si>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</si>
  <si>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</si>
  <si>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</si>
  <si>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</si>
  <si>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</si>
  <si>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</si>
  <si>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</si>
  <si>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</si>
  <si>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</si>
  <si>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</si>
  <si>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</si>
  <si>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</si>
  <si>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</si>
  <si>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</si>
  <si>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</si>
  <si>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</si>
  <si>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</si>
  <si>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</si>
  <si>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</si>
  <si>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</si>
  <si>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</si>
  <si>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</si>
  <si>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</si>
  <si>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430005</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</si>
  <si>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</si>
  <si>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</si>
  <si>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</si>
  <si>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</si>
  <si>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</si>
  <si>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</si>
  <si>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</si>
  <si>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</si>
  <si>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</si>
  <si>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</si>
  <si>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</si>
  <si>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</si>
  <si>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</si>
  <si>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</si>
  <si>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</si>
  <si>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</si>
  <si>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</si>
  <si>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</si>
  <si>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</si>
  <si>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</si>
  <si>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</si>
  <si>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</si>
  <si>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</si>
  <si>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</si>
  <si>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</si>
  <si>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</si>
  <si>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</si>
  <si>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</si>
  <si>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</si>
  <si>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</si>
  <si>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</si>
  <si>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</si>
  <si>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</si>
  <si>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</si>
  <si>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</si>
  <si>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</si>
  <si>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</si>
  <si>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</si>
  <si>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</si>
  <si>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</si>
  <si>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</si>
  <si>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</si>
  <si>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</si>
  <si>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</si>
  <si>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</si>
  <si>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</si>
  <si>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</si>
  <si>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</si>
  <si>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</si>
  <si>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</si>
  <si>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</si>
  <si>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</si>
  <si>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</si>
  <si>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</si>
  <si>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</si>
  <si>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</si>
  <si>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</si>
  <si>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</si>
  <si>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</si>
  <si>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</si>
  <si>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</si>
  <si>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</si>
  <si>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</si>
  <si>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</si>
  <si>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</si>
  <si>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</si>
  <si>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</si>
  <si>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</si>
  <si>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</si>
  <si>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</si>
  <si>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</si>
  <si>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</si>
  <si>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</si>
  <si>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</si>
  <si>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</si>
  <si>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</si>
  <si>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</si>
  <si>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</si>
  <si>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</si>
  <si>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</si>
  <si>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</si>
  <si>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</si>
  <si>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</si>
  <si>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</si>
  <si>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</si>
  <si>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440001</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</si>
  <si>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</si>
  <si>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</si>
  <si>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</si>
  <si>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</si>
  <si>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</si>
  <si>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</si>
  <si>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</si>
  <si>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</si>
  <si>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</si>
  <si>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</si>
  <si>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</si>
  <si>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</si>
  <si>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</si>
  <si>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</si>
  <si>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</si>
  <si>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</si>
  <si>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</si>
  <si>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</si>
  <si>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</si>
  <si>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</si>
  <si>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</si>
  <si>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</si>
  <si>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</si>
  <si>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</si>
  <si>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</si>
  <si>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</si>
  <si>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</si>
  <si>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</si>
  <si>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</si>
  <si>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</si>
  <si>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</si>
  <si>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</si>
  <si>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</si>
  <si>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</si>
  <si>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450006</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</si>
  <si>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</si>
  <si>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</si>
  <si>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</si>
  <si>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</si>
  <si>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</si>
  <si>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</si>
  <si>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</si>
  <si>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</si>
  <si>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</si>
  <si>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</si>
  <si>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</si>
  <si>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</si>
  <si>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</si>
  <si>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</si>
  <si>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</si>
  <si>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</si>
  <si>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</si>
  <si>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</si>
  <si>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</si>
  <si>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</si>
  <si>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</si>
  <si>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</si>
  <si>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</si>
  <si>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</si>
  <si>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</si>
  <si>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</si>
  <si>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</si>
  <si>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</si>
  <si>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</si>
  <si>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</si>
  <si>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</si>
  <si>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</si>
  <si>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</si>
  <si>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</si>
  <si>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</si>
  <si>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</si>
  <si>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</si>
  <si>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</si>
  <si>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</si>
  <si>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</si>
  <si>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</si>
  <si>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</si>
  <si>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</si>
  <si>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</si>
  <si>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</si>
  <si>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</si>
  <si>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</si>
  <si>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</si>
  <si>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</si>
  <si>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460001</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</si>
  <si>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</si>
  <si>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</si>
  <si>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</si>
  <si>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</si>
  <si>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</si>
  <si>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</si>
  <si>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</si>
  <si>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</si>
  <si>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</si>
  <si>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</si>
  <si>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</si>
  <si>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</si>
  <si>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</si>
  <si>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</si>
  <si>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</si>
  <si>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</si>
  <si>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</si>
  <si>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</si>
  <si>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</si>
  <si>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</si>
  <si>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</si>
  <si>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</si>
  <si>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</si>
  <si>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</si>
  <si>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</si>
  <si>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</si>
  <si>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</si>
  <si>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</si>
  <si>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</si>
  <si>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</si>
  <si>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</si>
  <si>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</si>
  <si>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</si>
  <si>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</si>
  <si>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</si>
  <si>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</si>
  <si>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</si>
  <si>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</si>
  <si>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</si>
  <si>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</si>
  <si>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</si>
  <si>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</si>
  <si>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</si>
  <si>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</si>
  <si>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</si>
  <si>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</si>
  <si>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</si>
  <si>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</si>
  <si>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</si>
  <si>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</si>
  <si>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</si>
  <si>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</si>
  <si>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</si>
  <si>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</si>
  <si>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</si>
  <si>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</si>
  <si>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</si>
  <si>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</si>
  <si>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</si>
  <si>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</si>
  <si>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</si>
  <si>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</si>
  <si>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</si>
  <si>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</si>
  <si>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</si>
  <si>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</si>
  <si>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</si>
  <si>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</si>
  <si>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</si>
  <si>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</si>
  <si>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</si>
  <si>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</si>
  <si>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</si>
  <si>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</si>
  <si>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</si>
  <si>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</si>
  <si>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</si>
  <si>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</si>
  <si>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</si>
  <si>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</si>
  <si>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</si>
  <si>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</si>
  <si>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</si>
  <si>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</si>
  <si>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470007</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</si>
  <si>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</si>
  <si>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</si>
  <si>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</si>
  <si>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</si>
  <si>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</si>
  <si>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</si>
  <si>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</si>
  <si>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</si>
  <si>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</si>
  <si>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</si>
  <si>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</si>
  <si>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</si>
  <si>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</si>
  <si>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</si>
  <si>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</si>
  <si>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</si>
  <si>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</si>
  <si>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</si>
  <si>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</si>
  <si>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</si>
  <si>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</si>
  <si>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</si>
  <si>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</si>
  <si>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</si>
  <si>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</si>
  <si>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</si>
  <si>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</si>
  <si>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</si>
  <si>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</si>
  <si>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</si>
  <si>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</si>
  <si>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</si>
  <si>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</si>
  <si>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</si>
  <si>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</si>
  <si>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</si>
  <si>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</si>
  <si>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</si>
  <si>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</si>
  <si>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</si>
  <si>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</si>
  <si>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</si>
  <si>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</si>
  <si>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</si>
  <si>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</si>
  <si>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</si>
  <si>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</si>
  <si>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</si>
  <si>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</si>
  <si>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</si>
  <si>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</si>
  <si>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</si>
  <si>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</si>
  <si>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</si>
  <si>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</si>
  <si>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</si>
  <si>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</si>
  <si>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</si>
  <si>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</si>
  <si>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</si>
  <si>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</si>
  <si>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</si>
  <si>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</si>
  <si>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</si>
  <si>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</si>
  <si>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</si>
  <si>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</si>
  <si>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</si>
  <si>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</si>
  <si>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</si>
  <si>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</si>
  <si>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</si>
  <si>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</si>
  <si>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</si>
  <si>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</si>
  <si>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</si>
  <si>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</si>
  <si>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</si>
  <si>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</si>
  <si>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</si>
  <si>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令和2年度</t>
    <rPh sb="0" eb="2">
      <t>レイワ</t>
    </rPh>
    <rPh sb="3" eb="5">
      <t>ネンド</t>
    </rPh>
    <phoneticPr fontId="24"/>
  </si>
  <si>
    <t>令和元年度</t>
    <rPh sb="0" eb="2">
      <t>レイワ</t>
    </rPh>
    <rPh sb="2" eb="4">
      <t>ガンネン</t>
    </rPh>
    <rPh sb="3" eb="5">
      <t>ネンド</t>
    </rPh>
    <phoneticPr fontId="24"/>
  </si>
  <si>
    <t>平成31年度</t>
    <rPh sb="0" eb="2">
      <t>ヘイセイ</t>
    </rPh>
    <rPh sb="4" eb="6">
      <t>ネンド</t>
    </rPh>
    <phoneticPr fontId="24"/>
  </si>
  <si>
    <t>平成30年度</t>
    <rPh sb="0" eb="2">
      <t>ヘイセイ</t>
    </rPh>
    <rPh sb="4" eb="6">
      <t>ネンド</t>
    </rPh>
    <phoneticPr fontId="24"/>
  </si>
  <si>
    <t>平成29年度</t>
    <rPh sb="0" eb="2">
      <t>ヘイセイ</t>
    </rPh>
    <rPh sb="4" eb="6">
      <t>ネンド</t>
    </rPh>
    <phoneticPr fontId="24"/>
  </si>
  <si>
    <t>平成28年度以前</t>
    <rPh sb="0" eb="2">
      <t>ヘイセイ</t>
    </rPh>
    <rPh sb="4" eb="6">
      <t>ネンド</t>
    </rPh>
    <rPh sb="6" eb="8">
      <t>イゼン</t>
    </rPh>
    <phoneticPr fontId="6"/>
  </si>
  <si>
    <t>週休２日交替制モデル工事の試行</t>
    <phoneticPr fontId="5"/>
  </si>
  <si>
    <t>週休２日交替制モデル工事の試行工事</t>
    <phoneticPr fontId="5"/>
  </si>
  <si>
    <t>Ⅹ</t>
    <phoneticPr fontId="4"/>
  </si>
  <si>
    <t>ICT補正</t>
    <rPh sb="3" eb="5">
      <t>ホセイ</t>
    </rPh>
    <phoneticPr fontId="24"/>
  </si>
  <si>
    <t>B　墜落制止用器具（フルハーネス）費用
「ニ 安全費」のうち、墜落制止用器具（フルハーネス）費用</t>
    <rPh sb="40" eb="42">
      <t>アンゼンヒヨウ</t>
    </rPh>
    <phoneticPr fontId="5"/>
  </si>
  <si>
    <t>５)</t>
    <phoneticPr fontId="5"/>
  </si>
  <si>
    <t>新型コロナウイルスの感染拡大防止対策に係る費用</t>
    <rPh sb="0" eb="2">
      <t>シンガタ</t>
    </rPh>
    <rPh sb="10" eb="12">
      <t>カンセン</t>
    </rPh>
    <rPh sb="12" eb="14">
      <t>カクダイ</t>
    </rPh>
    <rPh sb="14" eb="16">
      <t>ボウシ</t>
    </rPh>
    <rPh sb="16" eb="18">
      <t>タイサク</t>
    </rPh>
    <rPh sb="19" eb="20">
      <t>カカワ</t>
    </rPh>
    <rPh sb="21" eb="23">
      <t>ヒヨウ</t>
    </rPh>
    <phoneticPr fontId="5"/>
  </si>
  <si>
    <t>(３)</t>
  </si>
  <si>
    <t>現場管理費</t>
  </si>
  <si>
    <t>　うち、新型コロナウイルスの感染拡大防止対策に係る費用</t>
  </si>
  <si>
    <t>余裕期間の方法</t>
    <rPh sb="0" eb="2">
      <t>ヨユウ</t>
    </rPh>
    <rPh sb="2" eb="4">
      <t>キカン</t>
    </rPh>
    <rPh sb="5" eb="7">
      <t>ホウホウ</t>
    </rPh>
    <phoneticPr fontId="5"/>
  </si>
  <si>
    <t>発注者指定方式</t>
    <rPh sb="0" eb="3">
      <t>ハッチュウシャ</t>
    </rPh>
    <rPh sb="3" eb="5">
      <t>シテイ</t>
    </rPh>
    <rPh sb="5" eb="7">
      <t>ホウシキ</t>
    </rPh>
    <phoneticPr fontId="5"/>
  </si>
  <si>
    <t>任意着手方式</t>
    <rPh sb="0" eb="2">
      <t>ニンイ</t>
    </rPh>
    <rPh sb="2" eb="4">
      <t>チャクシュ</t>
    </rPh>
    <rPh sb="4" eb="6">
      <t>ホウシキ</t>
    </rPh>
    <phoneticPr fontId="5"/>
  </si>
  <si>
    <t>フレックス方式</t>
    <rPh sb="5" eb="7">
      <t>ホウシキ</t>
    </rPh>
    <phoneticPr fontId="5"/>
  </si>
  <si>
    <t>⑦</t>
  </si>
  <si>
    <t>⑧</t>
  </si>
  <si>
    <t>余裕期間についての調査票</t>
  </si>
  <si>
    <t>余裕期間の方法</t>
  </si>
  <si>
    <t>工期（発注時）契約工期の始期</t>
  </si>
  <si>
    <t>年</t>
  </si>
  <si>
    <t>月</t>
  </si>
  <si>
    <t>工期（発注時）実工期の始期</t>
  </si>
  <si>
    <t>工期（発注時）の終期</t>
  </si>
  <si>
    <t>工期（契約時）契約工期の始期</t>
  </si>
  <si>
    <t>工期（契約時）実工期の始期</t>
  </si>
  <si>
    <t>工期（契約時）の終期</t>
  </si>
  <si>
    <t>週休２日交替制モデル工事の試行工事</t>
  </si>
  <si>
    <t>CountBlank</t>
  </si>
  <si>
    <t>（</t>
  </si>
  <si>
    <t>％）</t>
  </si>
  <si>
    <t>試行工事対象期間　１回目　　　　　　　　　　試行工事の対象期間（始）</t>
  </si>
  <si>
    <t>年）</t>
  </si>
  <si>
    <t>月）</t>
  </si>
  <si>
    <t>試行工事の対象期間（終）</t>
  </si>
  <si>
    <t>「有り」の場合：工期期間中の休日率</t>
  </si>
  <si>
    <t>積算に用いた労務費補正係数</t>
  </si>
  <si>
    <t>試行工事対象期間　２回目　　　　　　　　　　試行工事の対象期間（始）</t>
  </si>
  <si>
    <t>試行工事対象期間　３回目　　　　　　　　　　試行工事の対象期間（始）</t>
  </si>
  <si>
    <t>ICT地盤改良工（浅層・中層混合処理）</t>
    <rPh sb="3" eb="5">
      <t>ジバン</t>
    </rPh>
    <rPh sb="5" eb="7">
      <t>カイリョウ</t>
    </rPh>
    <rPh sb="7" eb="8">
      <t>コウ</t>
    </rPh>
    <rPh sb="9" eb="11">
      <t>センソウ</t>
    </rPh>
    <rPh sb="12" eb="14">
      <t>チュウソウ</t>
    </rPh>
    <rPh sb="14" eb="16">
      <t>コンゴウ</t>
    </rPh>
    <rPh sb="16" eb="18">
      <t>ショリ</t>
    </rPh>
    <phoneticPr fontId="5"/>
  </si>
  <si>
    <t>ICT法面工（吹付工）</t>
    <rPh sb="3" eb="5">
      <t>ノリメン</t>
    </rPh>
    <rPh sb="5" eb="6">
      <t>コウ</t>
    </rPh>
    <rPh sb="7" eb="9">
      <t>フキツケ</t>
    </rPh>
    <rPh sb="9" eb="10">
      <t>コウ</t>
    </rPh>
    <phoneticPr fontId="5"/>
  </si>
  <si>
    <t>ICT付帯構造物設置工</t>
  </si>
  <si>
    <t>ICT地盤改良工（深層）</t>
    <rPh sb="3" eb="5">
      <t>ジバン</t>
    </rPh>
    <rPh sb="5" eb="7">
      <t>カイリョウ</t>
    </rPh>
    <rPh sb="7" eb="8">
      <t>コウ</t>
    </rPh>
    <rPh sb="9" eb="11">
      <t>シンソウ</t>
    </rPh>
    <phoneticPr fontId="5"/>
  </si>
  <si>
    <t>ICT法面工（吹付法枠工）</t>
    <rPh sb="3" eb="5">
      <t>ノリメン</t>
    </rPh>
    <rPh sb="5" eb="6">
      <t>コウ</t>
    </rPh>
    <rPh sb="7" eb="9">
      <t>フキツケ</t>
    </rPh>
    <rPh sb="9" eb="11">
      <t>ノリワク</t>
    </rPh>
    <rPh sb="11" eb="12">
      <t>コウ</t>
    </rPh>
    <phoneticPr fontId="5"/>
  </si>
  <si>
    <t>ICT舗装工（修繕工）</t>
    <rPh sb="3" eb="5">
      <t>ホソウ</t>
    </rPh>
    <rPh sb="5" eb="6">
      <t>コウ</t>
    </rPh>
    <rPh sb="7" eb="9">
      <t>シュウゼン</t>
    </rPh>
    <rPh sb="9" eb="10">
      <t>コウ</t>
    </rPh>
    <phoneticPr fontId="5"/>
  </si>
  <si>
    <t>地盤改良工　安定処理（ＩＣＴ）</t>
    <rPh sb="0" eb="2">
      <t>ジバン</t>
    </rPh>
    <rPh sb="2" eb="4">
      <t>カイリョウ</t>
    </rPh>
    <rPh sb="4" eb="5">
      <t>コウ</t>
    </rPh>
    <rPh sb="6" eb="8">
      <t>アンテイ</t>
    </rPh>
    <rPh sb="8" eb="10">
      <t>ショリ</t>
    </rPh>
    <phoneticPr fontId="15"/>
  </si>
  <si>
    <t>地盤改良工　中層混合処理（ＩＣＴ）</t>
    <rPh sb="0" eb="2">
      <t>ジバン</t>
    </rPh>
    <rPh sb="2" eb="4">
      <t>カイリョウ</t>
    </rPh>
    <rPh sb="4" eb="5">
      <t>コウ</t>
    </rPh>
    <rPh sb="6" eb="8">
      <t>チュウソウ</t>
    </rPh>
    <rPh sb="8" eb="10">
      <t>コンゴウ</t>
    </rPh>
    <rPh sb="10" eb="12">
      <t>ショリ</t>
    </rPh>
    <phoneticPr fontId="15"/>
  </si>
  <si>
    <t>法面工（ＩＣＴ）</t>
    <rPh sb="0" eb="2">
      <t>ノリメン</t>
    </rPh>
    <rPh sb="2" eb="3">
      <t>コウ</t>
    </rPh>
    <phoneticPr fontId="15"/>
  </si>
  <si>
    <t>付帯構造物設置工（ＩＣＴ）</t>
    <rPh sb="0" eb="2">
      <t>フタイ</t>
    </rPh>
    <rPh sb="2" eb="5">
      <t>コウゾウブツ</t>
    </rPh>
    <rPh sb="5" eb="7">
      <t>セッチ</t>
    </rPh>
    <rPh sb="7" eb="8">
      <t>コウ</t>
    </rPh>
    <phoneticPr fontId="15"/>
  </si>
  <si>
    <t>地盤改良工　スラリー撹拌工（ＩＣＴ）</t>
    <rPh sb="0" eb="2">
      <t>ジバン</t>
    </rPh>
    <rPh sb="2" eb="4">
      <t>カイリョウ</t>
    </rPh>
    <rPh sb="4" eb="5">
      <t>コウ</t>
    </rPh>
    <rPh sb="10" eb="12">
      <t>カクハン</t>
    </rPh>
    <rPh sb="12" eb="13">
      <t>コウ</t>
    </rPh>
    <phoneticPr fontId="15"/>
  </si>
  <si>
    <t>切削オーバーレイ工（ＩＣＴ）</t>
    <rPh sb="0" eb="2">
      <t>セッサク</t>
    </rPh>
    <rPh sb="8" eb="9">
      <t>コウ</t>
    </rPh>
    <phoneticPr fontId="3"/>
  </si>
  <si>
    <t>路体（築堤）盛土（ＩＣＴ）</t>
    <rPh sb="0" eb="1">
      <t>ロ</t>
    </rPh>
    <rPh sb="1" eb="2">
      <t>カラダ</t>
    </rPh>
    <rPh sb="3" eb="5">
      <t>チクテイ</t>
    </rPh>
    <rPh sb="6" eb="7">
      <t>モ</t>
    </rPh>
    <rPh sb="7" eb="8">
      <t>ツチ</t>
    </rPh>
    <phoneticPr fontId="83"/>
  </si>
  <si>
    <t>路床盛土（ＩＣＴ）</t>
    <rPh sb="0" eb="2">
      <t>ロショウ</t>
    </rPh>
    <rPh sb="2" eb="3">
      <t>モ</t>
    </rPh>
    <rPh sb="3" eb="4">
      <t>ツチ</t>
    </rPh>
    <phoneticPr fontId="83"/>
  </si>
  <si>
    <t>法面整形（ＩＣＴ）</t>
    <rPh sb="0" eb="2">
      <t>ノリメン</t>
    </rPh>
    <rPh sb="2" eb="4">
      <t>セイケイ</t>
    </rPh>
    <phoneticPr fontId="83"/>
  </si>
  <si>
    <t>河床等掘削（ＩＣＴ）</t>
    <rPh sb="0" eb="2">
      <t>カショウ</t>
    </rPh>
    <rPh sb="2" eb="3">
      <t>トウ</t>
    </rPh>
    <rPh sb="3" eb="5">
      <t>クッサク</t>
    </rPh>
    <phoneticPr fontId="83"/>
  </si>
  <si>
    <t>作業土工（床掘）（ＩＣＴ）</t>
    <rPh sb="0" eb="2">
      <t>サギョウ</t>
    </rPh>
    <rPh sb="2" eb="4">
      <t>ドコウ</t>
    </rPh>
    <rPh sb="5" eb="7">
      <t>トコボリ</t>
    </rPh>
    <phoneticPr fontId="83"/>
  </si>
  <si>
    <t>不陸整正（ＩＣＴ）</t>
    <rPh sb="0" eb="2">
      <t>フリク</t>
    </rPh>
    <rPh sb="2" eb="4">
      <t>セイセイ</t>
    </rPh>
    <phoneticPr fontId="83"/>
  </si>
  <si>
    <t>下層路盤（車道・路肩部）（ＩＣＴ）</t>
    <rPh sb="0" eb="2">
      <t>カソウ</t>
    </rPh>
    <rPh sb="2" eb="4">
      <t>ロバン</t>
    </rPh>
    <rPh sb="5" eb="7">
      <t>シャドウ</t>
    </rPh>
    <rPh sb="8" eb="10">
      <t>ロカタ</t>
    </rPh>
    <rPh sb="10" eb="11">
      <t>ブ</t>
    </rPh>
    <phoneticPr fontId="83"/>
  </si>
  <si>
    <t>上層路盤（車道・路肩部）（ＩＣＴ）</t>
    <rPh sb="0" eb="2">
      <t>ジョウソウ</t>
    </rPh>
    <rPh sb="2" eb="4">
      <t>ロバン</t>
    </rPh>
    <rPh sb="5" eb="7">
      <t>シャドウ</t>
    </rPh>
    <rPh sb="8" eb="10">
      <t>ロカタ</t>
    </rPh>
    <rPh sb="10" eb="11">
      <t>ブ</t>
    </rPh>
    <phoneticPr fontId="83"/>
  </si>
  <si>
    <t>保守点検　路体（築堤）盛土（ＩＣＴ）</t>
  </si>
  <si>
    <t>保守点検　路床盛土（ＩＣＴ）</t>
  </si>
  <si>
    <t>保守点検　法面整形（ＩＣＴ）</t>
  </si>
  <si>
    <t>保守点検　河床等掘削（ＩＣＴ）</t>
  </si>
  <si>
    <t>保守点検　作業土工（床掘）（ＩＣＴ）</t>
  </si>
  <si>
    <t>保守点検　不陸整正（ＩＣＴ）</t>
  </si>
  <si>
    <t>保守点検　下層路盤（車道・路肩部）（ＩＣＴ）</t>
  </si>
  <si>
    <t>保守点検　上層路盤（車道・路肩部）（ＩＣＴ）</t>
  </si>
  <si>
    <t>保守点検　バックホウ浚渫船（ＩＣＴ）</t>
  </si>
  <si>
    <t>保守点検　地盤改良工　安定処理（ＩＣＴ）</t>
  </si>
  <si>
    <t>保守点検　地盤改良工　中層混合処理（ＩＣＴ）</t>
  </si>
  <si>
    <t>保守点検　法面工（ＩＣＴ）</t>
  </si>
  <si>
    <t>保守点検　付帯構造物設置工（ＩＣＴ）</t>
  </si>
  <si>
    <t>保守点検　地盤改良工　スラリー撹拌工（ＩＣＴ）</t>
  </si>
  <si>
    <t>保守点検　切削オーバーレイ工（ＩＣＴ）</t>
  </si>
  <si>
    <t>システム初期費（ＩＣＴ）　BH</t>
    <rPh sb="4" eb="6">
      <t>ショキ</t>
    </rPh>
    <rPh sb="6" eb="7">
      <t>ヒ</t>
    </rPh>
    <phoneticPr fontId="83"/>
  </si>
  <si>
    <t>システム初期費（ＩＣＴ）　BD</t>
    <rPh sb="4" eb="6">
      <t>ショキ</t>
    </rPh>
    <rPh sb="6" eb="7">
      <t>ヒ</t>
    </rPh>
    <phoneticPr fontId="83"/>
  </si>
  <si>
    <t>システム初期費（ＩＣＴ）　MG</t>
    <rPh sb="4" eb="6">
      <t>ショキ</t>
    </rPh>
    <rPh sb="6" eb="7">
      <t>ヒ</t>
    </rPh>
    <phoneticPr fontId="83"/>
  </si>
  <si>
    <t>システム初期費（ＩＣＴ）　BH（河川浚渫）</t>
    <rPh sb="4" eb="6">
      <t>ショキ</t>
    </rPh>
    <rPh sb="6" eb="7">
      <t>ヒ</t>
    </rPh>
    <rPh sb="16" eb="18">
      <t>カセン</t>
    </rPh>
    <rPh sb="18" eb="20">
      <t>シュンセツ</t>
    </rPh>
    <phoneticPr fontId="83"/>
  </si>
  <si>
    <t>システム初期費（ＩＣＴ）　中層混合処理機トレンチャ式</t>
    <rPh sb="4" eb="6">
      <t>ショキ</t>
    </rPh>
    <rPh sb="6" eb="7">
      <t>ヒ</t>
    </rPh>
    <phoneticPr fontId="83"/>
  </si>
  <si>
    <t>システム初期費（ＩＣＴ）　深層混合処理機スラリー式</t>
    <rPh sb="4" eb="6">
      <t>ショキ</t>
    </rPh>
    <rPh sb="6" eb="7">
      <t>ヒ</t>
    </rPh>
    <phoneticPr fontId="83"/>
  </si>
  <si>
    <t>システム初期費（ＩＣＴ）　路面切削機</t>
    <rPh sb="4" eb="6">
      <t>ショキ</t>
    </rPh>
    <rPh sb="6" eb="7">
      <t>ヒ</t>
    </rPh>
    <phoneticPr fontId="83"/>
  </si>
  <si>
    <t>３次元起工測量</t>
    <rPh sb="1" eb="3">
      <t>ジゲン</t>
    </rPh>
    <rPh sb="3" eb="5">
      <t>キコウ</t>
    </rPh>
    <rPh sb="5" eb="7">
      <t>ソクリョウ</t>
    </rPh>
    <phoneticPr fontId="83"/>
  </si>
  <si>
    <t>３次元設計データ作成</t>
    <rPh sb="1" eb="3">
      <t>ジゲン</t>
    </rPh>
    <rPh sb="3" eb="5">
      <t>セッケイ</t>
    </rPh>
    <rPh sb="8" eb="10">
      <t>サクセイ</t>
    </rPh>
    <phoneticPr fontId="83"/>
  </si>
  <si>
    <t>新型コロナウイルスの感染拡大防止対策に係る費用調査</t>
    <rPh sb="0" eb="2">
      <t>シンガタ</t>
    </rPh>
    <rPh sb="10" eb="12">
      <t>カンセン</t>
    </rPh>
    <rPh sb="12" eb="14">
      <t>カクダイ</t>
    </rPh>
    <rPh sb="14" eb="16">
      <t>ボウシ</t>
    </rPh>
    <rPh sb="16" eb="18">
      <t>タイサク</t>
    </rPh>
    <rPh sb="19" eb="20">
      <t>カカワ</t>
    </rPh>
    <rPh sb="21" eb="23">
      <t>ヒヨウ</t>
    </rPh>
    <rPh sb="23" eb="25">
      <t>チョウサチョウサ</t>
    </rPh>
    <phoneticPr fontId="5"/>
  </si>
  <si>
    <t>※本シートは、設計変更により新型コロナウイルスの感染拡大防止対策に係る費用を計上した場合のみご記入ください。</t>
    <rPh sb="1" eb="2">
      <t>ホン</t>
    </rPh>
    <rPh sb="7" eb="9">
      <t>セッケイ</t>
    </rPh>
    <rPh sb="9" eb="11">
      <t>ヘンコウ</t>
    </rPh>
    <rPh sb="14" eb="16">
      <t>シンガタ</t>
    </rPh>
    <rPh sb="24" eb="26">
      <t>カンセン</t>
    </rPh>
    <rPh sb="26" eb="28">
      <t>カクダイ</t>
    </rPh>
    <rPh sb="28" eb="30">
      <t>ボウシ</t>
    </rPh>
    <rPh sb="30" eb="32">
      <t>タイサク</t>
    </rPh>
    <rPh sb="33" eb="34">
      <t>カカワ</t>
    </rPh>
    <rPh sb="35" eb="37">
      <t>ヒヨウ</t>
    </rPh>
    <rPh sb="38" eb="40">
      <t>ケイジョウ</t>
    </rPh>
    <rPh sb="42" eb="44">
      <t>バアイ</t>
    </rPh>
    <rPh sb="47" eb="49">
      <t>キニュウ</t>
    </rPh>
    <phoneticPr fontId="5"/>
  </si>
  <si>
    <t>項目</t>
    <rPh sb="0" eb="2">
      <t>コウモク</t>
    </rPh>
    <phoneticPr fontId="5"/>
  </si>
  <si>
    <t>金額</t>
    <rPh sb="0" eb="2">
      <t>キンガク</t>
    </rPh>
    <phoneticPr fontId="5"/>
  </si>
  <si>
    <t>共通仮設費</t>
    <rPh sb="0" eb="2">
      <t>キョウツウ</t>
    </rPh>
    <rPh sb="2" eb="4">
      <t>カセツ</t>
    </rPh>
    <rPh sb="4" eb="5">
      <t>ヒ</t>
    </rPh>
    <phoneticPr fontId="76"/>
  </si>
  <si>
    <t>労働者宿舎における密集を避けるための、近隣宿泊施設の宿泊費・交通費</t>
    <rPh sb="0" eb="3">
      <t>ロウドウシャ</t>
    </rPh>
    <rPh sb="3" eb="5">
      <t>シュクシャ</t>
    </rPh>
    <rPh sb="9" eb="11">
      <t>ミッシュウ</t>
    </rPh>
    <rPh sb="12" eb="13">
      <t>サ</t>
    </rPh>
    <rPh sb="19" eb="21">
      <t>キンリン</t>
    </rPh>
    <rPh sb="21" eb="23">
      <t>シュクハク</t>
    </rPh>
    <rPh sb="23" eb="25">
      <t>シセツ</t>
    </rPh>
    <rPh sb="26" eb="29">
      <t>シュクハクヒ</t>
    </rPh>
    <rPh sb="30" eb="33">
      <t>コウツウヒ</t>
    </rPh>
    <phoneticPr fontId="76"/>
  </si>
  <si>
    <t>現場事務所や労働者宿舎等の拡張費用・借地料</t>
    <rPh sb="0" eb="2">
      <t>ゲンバ</t>
    </rPh>
    <rPh sb="2" eb="4">
      <t>ジム</t>
    </rPh>
    <rPh sb="4" eb="5">
      <t>ショ</t>
    </rPh>
    <rPh sb="6" eb="9">
      <t>ロウドウシャ</t>
    </rPh>
    <rPh sb="9" eb="11">
      <t>シュクシャ</t>
    </rPh>
    <rPh sb="11" eb="12">
      <t>トウ</t>
    </rPh>
    <rPh sb="13" eb="15">
      <t>カクチョウ</t>
    </rPh>
    <rPh sb="15" eb="17">
      <t>ヒヨウ</t>
    </rPh>
    <rPh sb="18" eb="21">
      <t>シャクチリョウ</t>
    </rPh>
    <phoneticPr fontId="76"/>
  </si>
  <si>
    <t>現場管理費</t>
    <rPh sb="0" eb="2">
      <t>ゲンバ</t>
    </rPh>
    <rPh sb="2" eb="5">
      <t>カンリヒ</t>
    </rPh>
    <phoneticPr fontId="76"/>
  </si>
  <si>
    <t>現場従事者のマスク、インカム、シールドヘルメット等の購入・リース費用</t>
    <rPh sb="0" eb="2">
      <t>ゲンバ</t>
    </rPh>
    <rPh sb="2" eb="5">
      <t>ジュウジシャ</t>
    </rPh>
    <rPh sb="24" eb="25">
      <t>ナド</t>
    </rPh>
    <rPh sb="26" eb="28">
      <t>コウニュウ</t>
    </rPh>
    <rPh sb="32" eb="34">
      <t>ヒヨウ</t>
    </rPh>
    <phoneticPr fontId="76"/>
  </si>
  <si>
    <t>現場に配備する消毒液、赤外線体温計等の購入・リース費用</t>
    <rPh sb="0" eb="2">
      <t>ゲンバ</t>
    </rPh>
    <rPh sb="3" eb="5">
      <t>ハイビ</t>
    </rPh>
    <rPh sb="7" eb="9">
      <t>ショウドク</t>
    </rPh>
    <rPh sb="9" eb="10">
      <t>エキ</t>
    </rPh>
    <rPh sb="11" eb="14">
      <t>セキガイセン</t>
    </rPh>
    <rPh sb="14" eb="18">
      <t>タイオンケイナド</t>
    </rPh>
    <rPh sb="19" eb="21">
      <t>コウニュウ</t>
    </rPh>
    <rPh sb="25" eb="27">
      <t>ヒヨウ</t>
    </rPh>
    <phoneticPr fontId="76"/>
  </si>
  <si>
    <t>遠隔臨場やテレビ会議等のための機材・通信費</t>
    <rPh sb="0" eb="2">
      <t>エンカク</t>
    </rPh>
    <rPh sb="2" eb="4">
      <t>リンジョウ</t>
    </rPh>
    <rPh sb="8" eb="11">
      <t>カイギナド</t>
    </rPh>
    <rPh sb="15" eb="17">
      <t>キザイ</t>
    </rPh>
    <rPh sb="18" eb="21">
      <t>ツウシンヒ</t>
    </rPh>
    <phoneticPr fontId="76"/>
  </si>
  <si>
    <t>感染対策</t>
    <rPh sb="0" eb="2">
      <t>カンセン</t>
    </rPh>
    <rPh sb="2" eb="4">
      <t>タイサク</t>
    </rPh>
    <phoneticPr fontId="5"/>
  </si>
  <si>
    <t>墜落制止用器具（フルハーネス）費用</t>
    <rPh sb="0" eb="2">
      <t>ツイラク</t>
    </rPh>
    <rPh sb="2" eb="4">
      <t>セイシ</t>
    </rPh>
    <rPh sb="4" eb="5">
      <t>ヨウ</t>
    </rPh>
    <rPh sb="5" eb="7">
      <t>キグ</t>
    </rPh>
    <rPh sb="15" eb="17">
      <t>ヒヨウ</t>
    </rPh>
    <phoneticPr fontId="14"/>
  </si>
  <si>
    <t>ル</t>
    <phoneticPr fontId="5"/>
  </si>
  <si>
    <t>新型コロナウイルス感染拡大防止対策費用</t>
    <rPh sb="0" eb="2">
      <t>シンガタ</t>
    </rPh>
    <rPh sb="9" eb="11">
      <t>カンセン</t>
    </rPh>
    <rPh sb="11" eb="13">
      <t>カクダイ</t>
    </rPh>
    <rPh sb="13" eb="15">
      <t>ボウシ</t>
    </rPh>
    <rPh sb="15" eb="17">
      <t>タイサク</t>
    </rPh>
    <rPh sb="17" eb="19">
      <t>ヒヨウ</t>
    </rPh>
    <phoneticPr fontId="3"/>
  </si>
  <si>
    <t>レ</t>
  </si>
  <si>
    <t>ソ</t>
  </si>
  <si>
    <t>ツ</t>
    <phoneticPr fontId="5"/>
  </si>
  <si>
    <t>1 : 市街地（2.0％）</t>
    <phoneticPr fontId="5"/>
  </si>
  <si>
    <t xml:space="preserve">2 : 山間僻地及び離島（1.0％） </t>
    <phoneticPr fontId="5"/>
  </si>
  <si>
    <t>3 :  地方部（一般交通等の影響を受ける場合）（1.5％）</t>
    <phoneticPr fontId="5"/>
  </si>
  <si>
    <t>4 :  地方部（一般交通等の影響を受けない場合）（0.0％）</t>
    <phoneticPr fontId="5"/>
  </si>
  <si>
    <t>平成29改定以前_共通仮設</t>
    <rPh sb="0" eb="2">
      <t>ヘイセイ</t>
    </rPh>
    <rPh sb="4" eb="6">
      <t>カイテイ</t>
    </rPh>
    <rPh sb="6" eb="8">
      <t>イゼン</t>
    </rPh>
    <phoneticPr fontId="5"/>
  </si>
  <si>
    <t>平成30改定以降_共通仮設</t>
    <rPh sb="0" eb="2">
      <t>ヘイセイ</t>
    </rPh>
    <rPh sb="4" eb="6">
      <t>カイテイ</t>
    </rPh>
    <rPh sb="6" eb="8">
      <t>イコウ</t>
    </rPh>
    <phoneticPr fontId="5"/>
  </si>
  <si>
    <t>平成30改定以降_現場管理</t>
    <rPh sb="0" eb="2">
      <t>ヘイセイ</t>
    </rPh>
    <rPh sb="4" eb="6">
      <t>カイテイ</t>
    </rPh>
    <rPh sb="6" eb="8">
      <t>イコウ</t>
    </rPh>
    <phoneticPr fontId="5"/>
  </si>
  <si>
    <t>平成29改定以前_現場管理</t>
    <rPh sb="0" eb="2">
      <t>ヘイセイ</t>
    </rPh>
    <rPh sb="4" eb="6">
      <t>カイテイ</t>
    </rPh>
    <rPh sb="6" eb="8">
      <t>イゼン</t>
    </rPh>
    <phoneticPr fontId="5"/>
  </si>
  <si>
    <t>1 : 市街地（1.5.％）</t>
    <phoneticPr fontId="5"/>
  </si>
  <si>
    <t xml:space="preserve">2 : 山間僻地及び離島（0.5％） </t>
    <phoneticPr fontId="5"/>
  </si>
  <si>
    <t>3 :  地方部（一般交通等の影響を受ける場合）（1.0％）</t>
    <phoneticPr fontId="5"/>
  </si>
  <si>
    <t>積上</t>
    <rPh sb="0" eb="2">
      <t>ツミジョウ</t>
    </rPh>
    <phoneticPr fontId="5"/>
  </si>
  <si>
    <t>-</t>
  </si>
  <si>
    <t>掘削（ＩＣＴ）</t>
    <rPh sb="0" eb="2">
      <t>クッサク</t>
    </rPh>
    <phoneticPr fontId="83"/>
  </si>
  <si>
    <t>保守点検　掘削（ＩＣＴ）</t>
    <phoneticPr fontId="5"/>
  </si>
  <si>
    <t>10)</t>
    <phoneticPr fontId="5"/>
  </si>
  <si>
    <t>Kr＝A×P ^ b
        Kr ：共通仮設費率（R2基準）
　　　　P ：対象額
　　　　A ：変数値（R2基準）
　　　　ｂ ：変数値（R2基準）</t>
    <phoneticPr fontId="5"/>
  </si>
  <si>
    <t>以下の条件では共通仮設費率分の入力と自動計算値が一致しない場合があります。
　①R2以前の基準による積算の場合（変数値、共通仮設費率が改定されている場合）
　②随意契約による補正がある場合
　③複数工種による合算工事の場合
　④独自の共通仮設費率を用いている場合</t>
    <rPh sb="67" eb="69">
      <t>カイテイ</t>
    </rPh>
    <rPh sb="97" eb="99">
      <t>フクスウ</t>
    </rPh>
    <rPh sb="99" eb="101">
      <t>コウシュ</t>
    </rPh>
    <rPh sb="104" eb="106">
      <t>ガッサン</t>
    </rPh>
    <rPh sb="106" eb="108">
      <t>コウジ</t>
    </rPh>
    <rPh sb="109" eb="111">
      <t>バアイ</t>
    </rPh>
    <phoneticPr fontId="5"/>
  </si>
  <si>
    <t>【参考】消費税の自動計算値
税率（10％）</t>
    <rPh sb="1" eb="3">
      <t>サンコウ</t>
    </rPh>
    <rPh sb="4" eb="7">
      <t>ショウヒゼイ</t>
    </rPh>
    <rPh sb="8" eb="10">
      <t>ジドウ</t>
    </rPh>
    <rPh sb="10" eb="13">
      <t>ケイサンチ</t>
    </rPh>
    <rPh sb="14" eb="16">
      <t>ゼイリツ</t>
    </rPh>
    <phoneticPr fontId="5"/>
  </si>
  <si>
    <t>工事の一時中止に伴う増加費用（率項目+積上げ項目）</t>
    <rPh sb="3" eb="5">
      <t>イチジ</t>
    </rPh>
    <rPh sb="5" eb="7">
      <t>チュウシ</t>
    </rPh>
    <phoneticPr fontId="4"/>
  </si>
  <si>
    <t>余裕期間の有無</t>
    <phoneticPr fontId="4"/>
  </si>
  <si>
    <t>　　注１）余裕期間の方式によって、工期（発注時）、実工期の入力が変わります。</t>
    <phoneticPr fontId="4"/>
  </si>
  <si>
    <t>　余裕期間について入力します。</t>
    <rPh sb="1" eb="3">
      <t>ヨユウ</t>
    </rPh>
    <rPh sb="3" eb="5">
      <t>キカン</t>
    </rPh>
    <rPh sb="9" eb="11">
      <t>ニュウリョク</t>
    </rPh>
    <phoneticPr fontId="4"/>
  </si>
  <si>
    <t>　　注２）発注者指定方式は、発注時、契約時共に同じ日付を入力してください。</t>
    <phoneticPr fontId="4"/>
  </si>
  <si>
    <t>【余裕期間についての調査票】</t>
    <rPh sb="1" eb="3">
      <t>ヨユウ</t>
    </rPh>
    <rPh sb="3" eb="5">
      <t>キカン</t>
    </rPh>
    <rPh sb="10" eb="13">
      <t>チョウサヒョウ</t>
    </rPh>
    <phoneticPr fontId="4"/>
  </si>
  <si>
    <t>通常トイレ費用</t>
    <rPh sb="0" eb="2">
      <t>ツウジョウ</t>
    </rPh>
    <rPh sb="5" eb="7">
      <t>ヒヨウ</t>
    </rPh>
    <phoneticPr fontId="5"/>
  </si>
  <si>
    <t>H</t>
    <phoneticPr fontId="5"/>
  </si>
  <si>
    <t>募集・解散費</t>
  </si>
  <si>
    <t>慰安・娯楽・厚生費</t>
  </si>
  <si>
    <t>作業被服費</t>
  </si>
  <si>
    <t>賃金以外の食事、通勤等に要する費用</t>
  </si>
  <si>
    <t>災害時負担費用</t>
  </si>
  <si>
    <t>a</t>
    <phoneticPr fontId="5"/>
  </si>
  <si>
    <t>b</t>
    <phoneticPr fontId="5"/>
  </si>
  <si>
    <t>c</t>
    <phoneticPr fontId="5"/>
  </si>
  <si>
    <t>d</t>
    <phoneticPr fontId="5"/>
  </si>
  <si>
    <t>e</t>
    <phoneticPr fontId="5"/>
  </si>
  <si>
    <t>）</t>
    <phoneticPr fontId="4"/>
  </si>
  <si>
    <t>令和4</t>
    <rPh sb="0" eb="2">
      <t>レイワ</t>
    </rPh>
    <phoneticPr fontId="5"/>
  </si>
  <si>
    <t>令和5</t>
    <rPh sb="0" eb="2">
      <t>レイワ</t>
    </rPh>
    <phoneticPr fontId="5"/>
  </si>
  <si>
    <t>令和6</t>
    <rPh sb="0" eb="2">
      <t>レイワ</t>
    </rPh>
    <phoneticPr fontId="5"/>
  </si>
  <si>
    <t>標示板、標識、保安燈、バリケード等の安全施設類の設置、撤去、補修に要した費用及び使用期間中の損料</t>
    <rPh sb="0" eb="1">
      <t>ヒョウ</t>
    </rPh>
    <rPh sb="9" eb="10">
      <t>トウロウ</t>
    </rPh>
    <rPh sb="16" eb="17">
      <t>トウ</t>
    </rPh>
    <phoneticPr fontId="5"/>
  </si>
  <si>
    <t>安全用品等の費用（安全帯を除く）</t>
    <rPh sb="0" eb="2">
      <t>アンゼン</t>
    </rPh>
    <rPh sb="2" eb="4">
      <t>ヨウヒン</t>
    </rPh>
    <rPh sb="4" eb="5">
      <t>ナド</t>
    </rPh>
    <rPh sb="6" eb="8">
      <t>ヒヨウ</t>
    </rPh>
    <rPh sb="9" eb="12">
      <t>アンゼンタイ</t>
    </rPh>
    <rPh sb="13" eb="14">
      <t>ノゾ</t>
    </rPh>
    <phoneticPr fontId="5"/>
  </si>
  <si>
    <t>安全用品等の費用（フルハーネスを安全帯のみの費用）</t>
    <rPh sb="0" eb="2">
      <t>アンゼン</t>
    </rPh>
    <rPh sb="2" eb="4">
      <t>ヨウヒン</t>
    </rPh>
    <rPh sb="4" eb="5">
      <t>ナド</t>
    </rPh>
    <rPh sb="6" eb="8">
      <t>ヒヨウ</t>
    </rPh>
    <rPh sb="16" eb="19">
      <t>アンゼンタイ</t>
    </rPh>
    <rPh sb="22" eb="24">
      <t>ヒヨウ</t>
    </rPh>
    <phoneticPr fontId="5"/>
  </si>
  <si>
    <t>3)</t>
  </si>
  <si>
    <t>4)</t>
  </si>
  <si>
    <t>現場内小運搬</t>
  </si>
  <si>
    <t>5)</t>
  </si>
  <si>
    <t>海上輸送</t>
    <rPh sb="0" eb="2">
      <t>カイジョウ</t>
    </rPh>
    <rPh sb="2" eb="4">
      <t>ユソウ</t>
    </rPh>
    <phoneticPr fontId="3"/>
  </si>
  <si>
    <t>⑦安全用品等（安全帯除く）</t>
    <rPh sb="1" eb="3">
      <t>アンゼン</t>
    </rPh>
    <rPh sb="3" eb="5">
      <t>ヨウヒン</t>
    </rPh>
    <rPh sb="5" eb="6">
      <t>ナド</t>
    </rPh>
    <rPh sb="7" eb="9">
      <t>アンゼン</t>
    </rPh>
    <rPh sb="9" eb="10">
      <t>タイ</t>
    </rPh>
    <rPh sb="10" eb="11">
      <t>ノゾ</t>
    </rPh>
    <phoneticPr fontId="5"/>
  </si>
  <si>
    <t>8)</t>
    <phoneticPr fontId="5"/>
  </si>
  <si>
    <t>⑧安全用品等（フルハーネス型を除く安全帯のみ）</t>
    <rPh sb="1" eb="3">
      <t>アンゼン</t>
    </rPh>
    <rPh sb="3" eb="5">
      <t>ヨウヒン</t>
    </rPh>
    <rPh sb="5" eb="6">
      <t>ナド</t>
    </rPh>
    <rPh sb="13" eb="14">
      <t>ガタ</t>
    </rPh>
    <rPh sb="15" eb="16">
      <t>ノゾ</t>
    </rPh>
    <rPh sb="17" eb="20">
      <t>アンゼンタイ</t>
    </rPh>
    <phoneticPr fontId="5"/>
  </si>
  <si>
    <t>墜落制止器具（フルハーネス）費用</t>
    <rPh sb="0" eb="2">
      <t>ツイラク</t>
    </rPh>
    <rPh sb="2" eb="4">
      <t>セイシ</t>
    </rPh>
    <rPh sb="4" eb="6">
      <t>キグ</t>
    </rPh>
    <rPh sb="14" eb="16">
      <t>ヒヨウ</t>
    </rPh>
    <phoneticPr fontId="5"/>
  </si>
  <si>
    <t>通常トイレ</t>
    <rPh sb="0" eb="2">
      <t>ツウジョウ</t>
    </rPh>
    <phoneticPr fontId="5"/>
  </si>
  <si>
    <t>新型コロナウイルス感染拡大防止対策費用</t>
    <rPh sb="0" eb="2">
      <t>シンガタ</t>
    </rPh>
    <rPh sb="9" eb="11">
      <t>カンセン</t>
    </rPh>
    <rPh sb="11" eb="13">
      <t>カクダイ</t>
    </rPh>
    <rPh sb="13" eb="15">
      <t>ボウシ</t>
    </rPh>
    <rPh sb="15" eb="17">
      <t>タイサク</t>
    </rPh>
    <rPh sb="17" eb="19">
      <t>ヒヨウ</t>
    </rPh>
    <phoneticPr fontId="5"/>
  </si>
  <si>
    <t>自走による運搬</t>
    <phoneticPr fontId="5"/>
  </si>
  <si>
    <t>日々回送による運搬</t>
    <rPh sb="0" eb="2">
      <t>ヒビ</t>
    </rPh>
    <rPh sb="2" eb="4">
      <t>カイソウ</t>
    </rPh>
    <rPh sb="7" eb="9">
      <t>ウンパン</t>
    </rPh>
    <phoneticPr fontId="5"/>
  </si>
  <si>
    <t>海上輸送</t>
    <rPh sb="0" eb="2">
      <t>カイジョウ</t>
    </rPh>
    <rPh sb="2" eb="4">
      <t>ユソウ</t>
    </rPh>
    <phoneticPr fontId="5"/>
  </si>
  <si>
    <t>■元請調査票データ貼り付け手順
①元請調査票のシート『まとめ』、セルB3：H216を選択
②コピー
③本シート、セルB8に「値」で貼り付け
↓赤枠貼り付け範囲</t>
    <rPh sb="1" eb="3">
      <t>モトウケ</t>
    </rPh>
    <rPh sb="17" eb="19">
      <t>モトウケ</t>
    </rPh>
    <rPh sb="19" eb="22">
      <t>チョウサヒョウ</t>
    </rPh>
    <rPh sb="42" eb="44">
      <t>センタク</t>
    </rPh>
    <rPh sb="51" eb="52">
      <t>ホン</t>
    </rPh>
    <rPh sb="62" eb="63">
      <t>アタイ</t>
    </rPh>
    <rPh sb="65" eb="66">
      <t>ハ</t>
    </rPh>
    <rPh sb="67" eb="68">
      <t>ツ</t>
    </rPh>
    <rPh sb="71" eb="72">
      <t>アカ</t>
    </rPh>
    <rPh sb="72" eb="73">
      <t>ワク</t>
    </rPh>
    <rPh sb="73" eb="74">
      <t>ハ</t>
    </rPh>
    <rPh sb="75" eb="76">
      <t>ツ</t>
    </rPh>
    <rPh sb="77" eb="79">
      <t>ハンイ</t>
    </rPh>
    <phoneticPr fontId="5"/>
  </si>
  <si>
    <t>※総価契約単価合意方式の場合、合意前の額を記入して下さい。</t>
    <rPh sb="1" eb="2">
      <t>ソウ</t>
    </rPh>
    <rPh sb="2" eb="3">
      <t>カ</t>
    </rPh>
    <rPh sb="3" eb="5">
      <t>ケイヤク</t>
    </rPh>
    <rPh sb="5" eb="7">
      <t>タンカ</t>
    </rPh>
    <rPh sb="7" eb="9">
      <t>ゴウイ</t>
    </rPh>
    <rPh sb="9" eb="11">
      <t>ホウシキ</t>
    </rPh>
    <rPh sb="12" eb="14">
      <t>バアイ</t>
    </rPh>
    <rPh sb="15" eb="17">
      <t>ゴウイ</t>
    </rPh>
    <rPh sb="17" eb="18">
      <t>マエ</t>
    </rPh>
    <rPh sb="19" eb="20">
      <t>ガク</t>
    </rPh>
    <rPh sb="21" eb="23">
      <t>キニュウ</t>
    </rPh>
    <rPh sb="25" eb="26">
      <t>クダ</t>
    </rPh>
    <phoneticPr fontId="4"/>
  </si>
  <si>
    <r>
      <t>A-1　夜間工事その他、照明が必要な作業を
　　　 行う場合における照明に要した費用
　　「ニ 安全費」のうち、</t>
    </r>
    <r>
      <rPr>
        <sz val="11"/>
        <color rgb="FFFF0000"/>
        <rFont val="ＭＳ Ｐゴシック"/>
        <family val="3"/>
        <charset val="128"/>
      </rPr>
      <t>夜間工事以外</t>
    </r>
    <r>
      <rPr>
        <sz val="11"/>
        <rFont val="ＭＳ Ｐゴシック"/>
        <family val="3"/>
        <charset val="128"/>
      </rPr>
      <t>で照明が
　　必要な作業を行う場合における照明に要した
　　費用</t>
    </r>
    <rPh sb="4" eb="6">
      <t>ヤカン</t>
    </rPh>
    <rPh sb="6" eb="8">
      <t>コウジ</t>
    </rPh>
    <rPh sb="10" eb="11">
      <t>タ</t>
    </rPh>
    <rPh sb="12" eb="14">
      <t>ショウメイ</t>
    </rPh>
    <rPh sb="15" eb="17">
      <t>ヒツヨウ</t>
    </rPh>
    <rPh sb="18" eb="20">
      <t>サギョウ</t>
    </rPh>
    <rPh sb="26" eb="27">
      <t>オコナ</t>
    </rPh>
    <rPh sb="28" eb="30">
      <t>バアイ</t>
    </rPh>
    <rPh sb="34" eb="36">
      <t>ショウメイ</t>
    </rPh>
    <rPh sb="37" eb="38">
      <t>ヨウ</t>
    </rPh>
    <rPh sb="40" eb="42">
      <t>ヒヨウ</t>
    </rPh>
    <rPh sb="60" eb="62">
      <t>イガイ</t>
    </rPh>
    <phoneticPr fontId="4"/>
  </si>
  <si>
    <r>
      <t>A-2　夜間工事その他、照明が必要な作業を
　　　 行う場合における照明に要した費用
　　「ニ 安全費」のうち、</t>
    </r>
    <r>
      <rPr>
        <sz val="11"/>
        <color rgb="FFFF0000"/>
        <rFont val="ＭＳ Ｐゴシック"/>
        <family val="3"/>
        <charset val="128"/>
      </rPr>
      <t>夜間工事</t>
    </r>
    <r>
      <rPr>
        <sz val="11"/>
        <rFont val="ＭＳ Ｐゴシック"/>
        <family val="3"/>
        <charset val="128"/>
      </rPr>
      <t>で照明が
　　必要な作業を行う場合における照明に要した
　　費用</t>
    </r>
    <rPh sb="4" eb="6">
      <t>ヤカン</t>
    </rPh>
    <rPh sb="6" eb="8">
      <t>コウジ</t>
    </rPh>
    <rPh sb="10" eb="11">
      <t>タ</t>
    </rPh>
    <rPh sb="12" eb="14">
      <t>ショウメイ</t>
    </rPh>
    <rPh sb="15" eb="17">
      <t>ヒツヨウ</t>
    </rPh>
    <rPh sb="18" eb="20">
      <t>サギョウ</t>
    </rPh>
    <rPh sb="26" eb="27">
      <t>オコナ</t>
    </rPh>
    <rPh sb="28" eb="30">
      <t>バアイ</t>
    </rPh>
    <rPh sb="34" eb="36">
      <t>ショウメイ</t>
    </rPh>
    <rPh sb="37" eb="38">
      <t>ヨウ</t>
    </rPh>
    <rPh sb="40" eb="42">
      <t>ヒヨウ</t>
    </rPh>
    <phoneticPr fontId="4"/>
  </si>
  <si>
    <t>※測量作業等の「夜間工事以外」で計上した照明に要した費用</t>
    <rPh sb="1" eb="3">
      <t>ソクリョウ</t>
    </rPh>
    <rPh sb="3" eb="5">
      <t>サギョウ</t>
    </rPh>
    <rPh sb="5" eb="6">
      <t>トウ</t>
    </rPh>
    <rPh sb="8" eb="10">
      <t>ヤカン</t>
    </rPh>
    <rPh sb="10" eb="12">
      <t>コウジ</t>
    </rPh>
    <rPh sb="12" eb="14">
      <t>イガイ</t>
    </rPh>
    <rPh sb="16" eb="18">
      <t>ケイジョウ</t>
    </rPh>
    <rPh sb="20" eb="22">
      <t>ショウメイ</t>
    </rPh>
    <rPh sb="23" eb="24">
      <t>ヨウ</t>
    </rPh>
    <rPh sb="26" eb="28">
      <t>ヒヨウ</t>
    </rPh>
    <phoneticPr fontId="4"/>
  </si>
  <si>
    <t>調査票ver</t>
    <rPh sb="0" eb="3">
      <t>チョウサヒョウ</t>
    </rPh>
    <phoneticPr fontId="53"/>
  </si>
  <si>
    <t>シート名</t>
    <rPh sb="3" eb="4">
      <t>ナ</t>
    </rPh>
    <phoneticPr fontId="53"/>
  </si>
  <si>
    <t>項目</t>
    <rPh sb="0" eb="2">
      <t>コウモク</t>
    </rPh>
    <phoneticPr fontId="53"/>
  </si>
  <si>
    <t>修正箇所（列）</t>
    <rPh sb="0" eb="2">
      <t>シュウセイ</t>
    </rPh>
    <rPh sb="2" eb="4">
      <t>カショ</t>
    </rPh>
    <rPh sb="5" eb="6">
      <t>レツ</t>
    </rPh>
    <phoneticPr fontId="53"/>
  </si>
  <si>
    <t>修正箇所（行）</t>
    <rPh sb="0" eb="2">
      <t>シュウセイ</t>
    </rPh>
    <rPh sb="2" eb="4">
      <t>カショ</t>
    </rPh>
    <rPh sb="5" eb="6">
      <t>ギョウ</t>
    </rPh>
    <phoneticPr fontId="53"/>
  </si>
  <si>
    <t>備考</t>
    <rPh sb="0" eb="2">
      <t>ビコウ</t>
    </rPh>
    <phoneticPr fontId="53"/>
  </si>
  <si>
    <t>66、74、82</t>
    <phoneticPr fontId="5"/>
  </si>
  <si>
    <t>小数点以下が入力できなかった</t>
    <rPh sb="0" eb="3">
      <t>ショウスウテン</t>
    </rPh>
    <rPh sb="3" eb="5">
      <t>イカ</t>
    </rPh>
    <rPh sb="6" eb="8">
      <t>ニュウリョク</t>
    </rPh>
    <phoneticPr fontId="5"/>
  </si>
  <si>
    <t>Ver20.02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</si>
</sst>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0"/>
    <numFmt numFmtId="177" formatCode="0.0_ "/>
    <numFmt numFmtId="178" formatCode="#,##0_ "/>
    <numFmt numFmtId="179" formatCode="0.00_ "/>
    <numFmt numFmtId="180" formatCode="#,##0.0_ "/>
    <numFmt numFmtId="181" formatCode="00000"/>
    <numFmt numFmtId="182" formatCode="#,##0;[Red]#,##0"/>
    <numFmt numFmtId="183" formatCode="#,##0_ ;[Red]\-#,##0\ "/>
    <numFmt numFmtId="184" formatCode="0.0%"/>
    <numFmt numFmtId="185" formatCode="[$-411]ggge&quot;年度&quot;"/>
    <numFmt numFmtId="186" formatCode="&quot;第&quot;0&quot;回&quot;"/>
    <numFmt numFmtId="187" formatCode="&quot;落札率　&quot;0.0&quot; %&quot;"/>
    <numFmt numFmtId="188" formatCode="0.00_);[Red]\(0.00\)"/>
    <numFmt numFmtId="189" formatCode="0.0"/>
    <numFmt numFmtId="190" formatCode="0.0000"/>
    <numFmt numFmtId="191" formatCode="#,##0.0;[Red]\-#,##0.0"/>
    <numFmt numFmtId="192" formatCode="[$-411]ge\.m\.d;@"/>
    <numFmt numFmtId="193" formatCode="mm/dd"/>
    <numFmt numFmtId="194" formatCode="[$-411]ge/mm/dd"/>
    <numFmt numFmtId="195" formatCode="#,##0.0000;[Red]\-#,##0.0000"/>
    <numFmt numFmtId="196" formatCode="0.000_);[Red]\(0.000\)"/>
    <numFmt numFmtId="197" formatCode="0.0_);[Red]\(0.0\)"/>
    <numFmt numFmtId="198" formatCode="0.0000%"/>
    <numFmt numFmtId="199" formatCode="0_ "/>
    <numFmt numFmtId="200" formatCode="#,##0&quot;）&quot;"/>
    <numFmt numFmtId="201" formatCode="#,##0.000;[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明朝"/>
      <family val="1"/>
      <charset val="128"/>
    </font>
    <font>
      <sz val="6"/>
      <name val="ＭＳ Ｐゴシック"/>
      <family val="3"/>
      <charset val="128"/>
    </font>
    <font>
      <b/>
      <sz val="16"/>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12"/>
      <name val="Osaka"/>
      <family val="3"/>
      <charset val="128"/>
    </font>
    <font>
      <sz val="8"/>
      <name val="ＭＳ Ｐゴシック"/>
      <family val="3"/>
      <charset val="128"/>
    </font>
    <font>
      <sz val="10"/>
      <color indexed="10"/>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name val="ＭＳ Ｐゴシック"/>
      <family val="3"/>
      <charset val="128"/>
    </font>
    <font>
      <b/>
      <sz val="9"/>
      <color indexed="10"/>
      <name val="ＭＳ Ｐゴシック"/>
      <family val="3"/>
      <charset val="128"/>
    </font>
    <font>
      <b/>
      <sz val="10"/>
      <color indexed="10"/>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0"/>
      <color indexed="9"/>
      <name val="ＭＳ Ｐゴシック"/>
      <family val="3"/>
      <charset val="128"/>
    </font>
    <font>
      <b/>
      <sz val="12"/>
      <name val="ＭＳ Ｐゴシック"/>
      <family val="3"/>
      <charset val="128"/>
    </font>
    <font>
      <sz val="11"/>
      <name val="ＭＳ Ｐゴシック"/>
      <family val="3"/>
      <charset val="128"/>
    </font>
    <font>
      <sz val="10"/>
      <color indexed="12"/>
      <name val="ＭＳ Ｐゴシック"/>
      <family val="3"/>
      <charset val="128"/>
    </font>
    <font>
      <sz val="11"/>
      <color indexed="12"/>
      <name val="ＭＳ Ｐゴシック"/>
      <family val="3"/>
      <charset val="128"/>
    </font>
    <font>
      <sz val="12"/>
      <color indexed="10"/>
      <name val="ＭＳ Ｐゴシック"/>
      <family val="3"/>
      <charset val="128"/>
    </font>
    <font>
      <b/>
      <sz val="12"/>
      <color indexed="10"/>
      <name val="ＭＳ Ｐゴシック"/>
      <family val="3"/>
      <charset val="128"/>
    </font>
    <font>
      <b/>
      <sz val="13"/>
      <name val="ＭＳ Ｐゴシック"/>
      <family val="3"/>
      <charset val="128"/>
    </font>
    <font>
      <sz val="12"/>
      <color indexed="12"/>
      <name val="ＭＳ Ｐゴシック"/>
      <family val="3"/>
      <charset val="128"/>
    </font>
    <font>
      <b/>
      <sz val="12"/>
      <color indexed="12"/>
      <name val="ＭＳ Ｐゴシック"/>
      <family val="3"/>
      <charset val="128"/>
    </font>
    <font>
      <sz val="9"/>
      <color indexed="81"/>
      <name val="ＭＳ Ｐゴシック"/>
      <family val="3"/>
      <charset val="128"/>
    </font>
    <font>
      <sz val="8"/>
      <color indexed="10"/>
      <name val="ＭＳ Ｐゴシック"/>
      <family val="3"/>
      <charset val="128"/>
    </font>
    <font>
      <b/>
      <sz val="9"/>
      <color indexed="81"/>
      <name val="ＭＳ Ｐゴシック"/>
      <family val="3"/>
      <charset val="128"/>
    </font>
    <font>
      <sz val="10.5"/>
      <name val="ＭＳ Ｐゴシック"/>
      <family val="3"/>
      <charset val="128"/>
    </font>
    <font>
      <b/>
      <sz val="11"/>
      <color indexed="14"/>
      <name val="ＭＳ Ｐゴシック"/>
      <family val="3"/>
      <charset val="128"/>
    </font>
    <font>
      <sz val="11"/>
      <color indexed="14"/>
      <name val="ＭＳ Ｐゴシック"/>
      <family val="3"/>
      <charset val="128"/>
    </font>
    <font>
      <sz val="10"/>
      <color indexed="17"/>
      <name val="ＭＳ Ｐゴシック"/>
      <family val="3"/>
      <charset val="128"/>
    </font>
    <font>
      <sz val="10"/>
      <color indexed="81"/>
      <name val="ＭＳ Ｐゴシック"/>
      <family val="3"/>
      <charset val="128"/>
    </font>
    <font>
      <b/>
      <sz val="12"/>
      <name val="ＭＳ 明朝"/>
      <family val="1"/>
      <charset val="128"/>
    </font>
    <font>
      <sz val="10"/>
      <name val="ＭＳ 明朝"/>
      <family val="1"/>
      <charset val="128"/>
    </font>
    <font>
      <sz val="10"/>
      <color indexed="10"/>
      <name val="ＭＳ 明朝"/>
      <family val="1"/>
      <charset val="128"/>
    </font>
    <font>
      <b/>
      <sz val="10"/>
      <color rgb="FFFF0000"/>
      <name val="ＭＳ Ｐゴシック"/>
      <family val="3"/>
      <charset val="128"/>
    </font>
    <font>
      <sz val="10"/>
      <color theme="0"/>
      <name val="ＭＳ Ｐゴシック"/>
      <family val="3"/>
      <charset val="128"/>
    </font>
    <font>
      <b/>
      <sz val="11"/>
      <color indexed="12"/>
      <name val="ＭＳ Ｐゴシック"/>
      <family val="3"/>
      <charset val="128"/>
    </font>
    <font>
      <b/>
      <sz val="12"/>
      <color rgb="FFFF0000"/>
      <name val="ＭＳ Ｐゴシック"/>
      <family val="3"/>
      <charset val="128"/>
    </font>
    <font>
      <b/>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
      <sz val="9"/>
      <color theme="1"/>
      <name val="ＭＳ Ｐゴシック"/>
      <family val="3"/>
      <charset val="128"/>
    </font>
    <font>
      <sz val="9"/>
      <color theme="1"/>
      <name val="ＭＳ Ｐゴシック"/>
      <family val="3"/>
      <charset val="128"/>
      <scheme val="minor"/>
    </font>
    <font>
      <sz val="11"/>
      <color indexed="8"/>
      <name val="ＭＳ Ｐゴシック"/>
      <family val="3"/>
      <charset val="128"/>
    </font>
    <font>
      <sz val="9"/>
      <color indexed="23"/>
      <name val="ＭＳ Ｐゴシック"/>
      <family val="3"/>
      <charset val="128"/>
    </font>
    <font>
      <sz val="9"/>
      <color rgb="FF808080"/>
      <name val="ＭＳ Ｐゴシック"/>
      <family val="3"/>
      <charset val="128"/>
    </font>
    <font>
      <sz val="9"/>
      <color rgb="FFFF0000"/>
      <name val="ＭＳ Ｐゴシック"/>
      <family val="3"/>
      <charset val="128"/>
    </font>
    <font>
      <sz val="11"/>
      <color theme="0" tint="-0.24994659260841701"/>
      <name val="ＭＳ Ｐゴシック"/>
      <family val="3"/>
      <charset val="128"/>
    </font>
    <font>
      <sz val="11"/>
      <color rgb="FFFF0000"/>
      <name val="ＭＳ Ｐゴシック"/>
      <family val="3"/>
      <charset val="128"/>
    </font>
    <font>
      <sz val="9"/>
      <color indexed="49"/>
      <name val="ＭＳ Ｐゴシック"/>
      <family val="3"/>
      <charset val="128"/>
    </font>
    <font>
      <sz val="9"/>
      <color indexed="48"/>
      <name val="ＭＳ Ｐゴシック"/>
      <family val="3"/>
      <charset val="128"/>
    </font>
    <font>
      <sz val="9"/>
      <color indexed="17"/>
      <name val="ＭＳ Ｐゴシック"/>
      <family val="3"/>
      <charset val="128"/>
    </font>
    <font>
      <sz val="9"/>
      <color indexed="16"/>
      <name val="ＭＳ Ｐゴシック"/>
      <family val="3"/>
      <charset val="128"/>
    </font>
    <font>
      <sz val="9"/>
      <color indexed="19"/>
      <name val="ＭＳ Ｐゴシック"/>
      <family val="3"/>
      <charset val="128"/>
    </font>
    <font>
      <sz val="11"/>
      <color theme="1"/>
      <name val="ＭＳ Ｐゴシック"/>
      <family val="3"/>
      <charset val="128"/>
      <scheme val="minor"/>
    </font>
    <font>
      <b/>
      <sz val="9"/>
      <color rgb="FFFF0000"/>
      <name val="ＭＳ Ｐゴシック"/>
      <family val="3"/>
      <charset val="128"/>
    </font>
    <font>
      <sz val="10"/>
      <color theme="1"/>
      <name val="ＭＳ Ｐゴシック"/>
      <family val="3"/>
      <charset val="128"/>
    </font>
    <font>
      <sz val="9.9"/>
      <color rgb="FFFF0000"/>
      <name val="ＭＳ Ｐゴシック"/>
      <family val="3"/>
      <charset val="128"/>
    </font>
    <font>
      <b/>
      <sz val="10"/>
      <color theme="1"/>
      <name val="ＭＳ Ｐゴシック"/>
      <family val="3"/>
      <charset val="128"/>
    </font>
    <font>
      <sz val="11"/>
      <color theme="1"/>
      <name val="ＭＳ Ｐゴシック"/>
      <family val="3"/>
      <charset val="128"/>
    </font>
    <font>
      <b/>
      <sz val="10"/>
      <color indexed="10"/>
      <name val="MS P ゴシック"/>
      <family val="3"/>
      <charset val="128"/>
    </font>
    <font>
      <b/>
      <sz val="8"/>
      <color indexed="10"/>
      <name val="ＭＳ Ｐゴシック"/>
      <family val="3"/>
      <charset val="128"/>
    </font>
    <font>
      <sz val="11"/>
      <color theme="1"/>
      <name val="ＭＳ Ｐゴシック"/>
      <family val="2"/>
      <scheme val="minor"/>
    </font>
    <font>
      <sz val="6"/>
      <name val="ＭＳ Ｐゴシック"/>
      <family val="3"/>
      <charset val="128"/>
      <scheme val="minor"/>
    </font>
    <font>
      <u/>
      <sz val="11"/>
      <color theme="10"/>
      <name val="ＭＳ Ｐゴシック"/>
      <family val="3"/>
      <charset val="128"/>
    </font>
    <font>
      <sz val="10"/>
      <color indexed="20"/>
      <name val="ＭＳ Ｐゴシック"/>
      <family val="3"/>
      <charset val="128"/>
    </font>
    <font>
      <sz val="8.5"/>
      <color indexed="20"/>
      <name val="ＭＳ Ｐゴシック"/>
      <family val="3"/>
      <charset val="128"/>
    </font>
    <font>
      <sz val="10"/>
      <color rgb="FFFF0000"/>
      <name val="ＭＳ 明朝"/>
      <family val="1"/>
      <charset val="128"/>
    </font>
    <font>
      <b/>
      <sz val="11"/>
      <color theme="1"/>
      <name val="ＭＳ Ｐゴシック"/>
      <family val="3"/>
      <charset val="128"/>
    </font>
    <font>
      <b/>
      <sz val="8"/>
      <color rgb="FFFF0000"/>
      <name val="ＭＳ Ｐゴシック"/>
      <family val="3"/>
      <charset val="128"/>
    </font>
    <font>
      <sz val="10.5"/>
      <name val="ＭＳ ゴシック"/>
      <family val="3"/>
      <charset val="128"/>
    </font>
  </fonts>
  <fills count="26">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3"/>
        <bgColor indexed="64"/>
      </patternFill>
    </fill>
    <fill>
      <patternFill patternType="solid">
        <fgColor indexed="45"/>
        <bgColor indexed="64"/>
      </patternFill>
    </fill>
    <fill>
      <patternFill patternType="solid">
        <fgColor rgb="FFFF99CC"/>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indexed="4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99CCFF"/>
        <bgColor indexed="64"/>
      </patternFill>
    </fill>
    <fill>
      <patternFill patternType="solid">
        <fgColor rgb="FFFFFFCC"/>
        <bgColor indexed="64"/>
      </patternFill>
    </fill>
    <fill>
      <patternFill patternType="solid">
        <fgColor theme="0" tint="-0.14996795556505021"/>
        <bgColor indexed="64"/>
      </patternFill>
    </fill>
  </fills>
  <borders count="17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thin">
        <color indexed="23"/>
      </left>
      <right style="medium">
        <color indexed="23"/>
      </right>
      <top style="medium">
        <color indexed="23"/>
      </top>
      <bottom/>
      <diagonal/>
    </border>
    <border>
      <left style="thin">
        <color indexed="23"/>
      </left>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medium">
        <color indexed="23"/>
      </right>
      <top style="medium">
        <color indexed="23"/>
      </top>
      <bottom/>
      <diagonal/>
    </border>
    <border>
      <left style="medium">
        <color indexed="23"/>
      </left>
      <right/>
      <top/>
      <bottom style="medium">
        <color indexed="23"/>
      </bottom>
      <diagonal/>
    </border>
    <border>
      <left style="medium">
        <color indexed="23"/>
      </left>
      <right style="thin">
        <color indexed="23"/>
      </right>
      <top/>
      <bottom style="medium">
        <color indexed="23"/>
      </bottom>
      <diagonal/>
    </border>
    <border>
      <left style="thin">
        <color indexed="23"/>
      </left>
      <right style="thin">
        <color indexed="23"/>
      </right>
      <top/>
      <bottom style="medium">
        <color indexed="23"/>
      </bottom>
      <diagonal/>
    </border>
    <border>
      <left style="thin">
        <color indexed="23"/>
      </left>
      <right style="medium">
        <color indexed="23"/>
      </right>
      <top/>
      <bottom style="medium">
        <color indexed="23"/>
      </bottom>
      <diagonal/>
    </border>
    <border>
      <left style="thin">
        <color indexed="23"/>
      </left>
      <right/>
      <top style="thin">
        <color indexed="23"/>
      </top>
      <bottom style="medium">
        <color indexed="23"/>
      </bottom>
      <diagonal/>
    </border>
    <border>
      <left style="medium">
        <color indexed="23"/>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medium">
        <color indexed="23"/>
      </left>
      <right style="medium">
        <color indexed="23"/>
      </right>
      <top/>
      <bottom style="medium">
        <color indexed="23"/>
      </bottom>
      <diagonal/>
    </border>
    <border>
      <left style="medium">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auto="1"/>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23"/>
      </left>
      <right style="medium">
        <color indexed="23"/>
      </right>
      <top style="medium">
        <color indexed="23"/>
      </top>
      <bottom style="thin">
        <color indexed="23"/>
      </bottom>
      <diagonal/>
    </border>
    <border>
      <left style="thin">
        <color indexed="23"/>
      </left>
      <right/>
      <top/>
      <bottom style="thin">
        <color indexed="23"/>
      </bottom>
      <diagonal/>
    </border>
    <border>
      <left style="medium">
        <color indexed="23"/>
      </left>
      <right style="medium">
        <color indexed="23"/>
      </right>
      <top style="thin">
        <color indexed="23"/>
      </top>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medium">
        <color indexed="23"/>
      </right>
      <top style="thin">
        <color indexed="23"/>
      </top>
      <bottom/>
      <diagonal/>
    </border>
    <border>
      <left style="thin">
        <color indexed="23"/>
      </left>
      <right/>
      <top style="thin">
        <color indexed="23"/>
      </top>
      <bottom/>
      <diagonal/>
    </border>
    <border>
      <left style="medium">
        <color indexed="23"/>
      </left>
      <right style="medium">
        <color indexed="23"/>
      </right>
      <top style="thin">
        <color indexed="23"/>
      </top>
      <bottom style="medium">
        <color indexed="23"/>
      </bottom>
      <diagonal/>
    </border>
    <border>
      <left style="thin">
        <color indexed="64"/>
      </left>
      <right style="hair">
        <color indexed="64"/>
      </right>
      <top/>
      <bottom style="hair">
        <color indexed="64"/>
      </bottom>
      <diagonal/>
    </border>
    <border>
      <left style="thin">
        <color auto="1"/>
      </left>
      <right/>
      <top/>
      <bottom style="thin">
        <color auto="1"/>
      </bottom>
      <diagonal/>
    </border>
    <border>
      <left/>
      <right style="thin">
        <color auto="1"/>
      </right>
      <top/>
      <bottom style="thin">
        <color auto="1"/>
      </bottom>
      <diagonal/>
    </border>
    <border>
      <left style="hair">
        <color indexed="64"/>
      </left>
      <right style="hair">
        <color indexed="64"/>
      </right>
      <top style="thin">
        <color indexed="64"/>
      </top>
      <bottom style="thin">
        <color indexed="64"/>
      </bottom>
      <diagonal/>
    </border>
    <border>
      <left style="medium">
        <color indexed="23"/>
      </left>
      <right/>
      <top style="medium">
        <color indexed="23"/>
      </top>
      <bottom style="medium">
        <color indexed="23"/>
      </bottom>
      <diagonal/>
    </border>
    <border>
      <left/>
      <right style="thin">
        <color indexed="23"/>
      </right>
      <top style="medium">
        <color indexed="23"/>
      </top>
      <bottom style="medium">
        <color indexed="23"/>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bottom/>
      <diagonal/>
    </border>
    <border>
      <left style="thin">
        <color auto="1"/>
      </left>
      <right style="thick">
        <color rgb="FFFF0000"/>
      </right>
      <top style="hair">
        <color indexed="64"/>
      </top>
      <bottom/>
      <diagonal/>
    </border>
    <border>
      <left style="thick">
        <color rgb="FFFF0000"/>
      </left>
      <right/>
      <top style="thin">
        <color indexed="64"/>
      </top>
      <bottom style="thin">
        <color indexed="64"/>
      </bottom>
      <diagonal/>
    </border>
    <border>
      <left style="thin">
        <color auto="1"/>
      </left>
      <right style="thick">
        <color rgb="FFFF0000"/>
      </right>
      <top style="thin">
        <color auto="1"/>
      </top>
      <bottom style="thin">
        <color auto="1"/>
      </bottom>
      <diagonal/>
    </border>
    <border>
      <left style="thick">
        <color rgb="FFFF0000"/>
      </left>
      <right/>
      <top style="thin">
        <color indexed="64"/>
      </top>
      <bottom style="double">
        <color indexed="64"/>
      </bottom>
      <diagonal/>
    </border>
    <border>
      <left style="thin">
        <color auto="1"/>
      </left>
      <right style="thick">
        <color rgb="FFFF0000"/>
      </right>
      <top style="thin">
        <color indexed="64"/>
      </top>
      <bottom style="double">
        <color indexed="64"/>
      </bottom>
      <diagonal/>
    </border>
    <border>
      <left style="thick">
        <color rgb="FFFF0000"/>
      </left>
      <right/>
      <top style="double">
        <color indexed="64"/>
      </top>
      <bottom/>
      <diagonal/>
    </border>
    <border>
      <left style="thin">
        <color auto="1"/>
      </left>
      <right style="thick">
        <color rgb="FFFF0000"/>
      </right>
      <top style="thin">
        <color indexed="64"/>
      </top>
      <bottom style="hair">
        <color indexed="64"/>
      </bottom>
      <diagonal/>
    </border>
    <border>
      <left style="thin">
        <color auto="1"/>
      </left>
      <right style="thick">
        <color rgb="FFFF0000"/>
      </right>
      <top style="hair">
        <color indexed="64"/>
      </top>
      <bottom style="hair">
        <color indexed="64"/>
      </bottom>
      <diagonal/>
    </border>
    <border>
      <left style="thin">
        <color auto="1"/>
      </left>
      <right style="thick">
        <color rgb="FFFF0000"/>
      </right>
      <top/>
      <bottom style="thin">
        <color indexed="64"/>
      </bottom>
      <diagonal/>
    </border>
    <border>
      <left style="thin">
        <color auto="1"/>
      </left>
      <right style="thick">
        <color rgb="FFFF0000"/>
      </right>
      <top style="hair">
        <color indexed="64"/>
      </top>
      <bottom style="thin">
        <color indexed="64"/>
      </bottom>
      <diagonal/>
    </border>
    <border>
      <left style="thin">
        <color auto="1"/>
      </left>
      <right style="thick">
        <color rgb="FFFF0000"/>
      </right>
      <top/>
      <bottom/>
      <diagonal/>
    </border>
    <border>
      <left style="thick">
        <color rgb="FFFF0000"/>
      </left>
      <right/>
      <top/>
      <bottom style="thin">
        <color indexed="64"/>
      </bottom>
      <diagonal/>
    </border>
    <border>
      <left style="thick">
        <color rgb="FFFF0000"/>
      </left>
      <right/>
      <top style="thin">
        <color indexed="64"/>
      </top>
      <bottom/>
      <diagonal/>
    </border>
    <border diagonalUp="1">
      <left style="thin">
        <color auto="1"/>
      </left>
      <right style="thick">
        <color rgb="FFFF0000"/>
      </right>
      <top style="thin">
        <color indexed="64"/>
      </top>
      <bottom style="thin">
        <color indexed="64"/>
      </bottom>
      <diagonal style="thin">
        <color indexed="64"/>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auto="1"/>
      </left>
      <right style="thick">
        <color rgb="FFFF0000"/>
      </right>
      <top style="thin">
        <color auto="1"/>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right style="thin">
        <color indexed="64"/>
      </right>
      <top style="double">
        <color indexed="64"/>
      </top>
      <bottom style="thin">
        <color indexed="64"/>
      </bottom>
      <diagonal/>
    </border>
    <border>
      <left/>
      <right style="thick">
        <color rgb="FFFF0000"/>
      </right>
      <top style="double">
        <color indexed="64"/>
      </top>
      <bottom style="thin">
        <color indexed="64"/>
      </bottom>
      <diagonal/>
    </border>
    <border>
      <left/>
      <right style="thick">
        <color rgb="FFFF0000"/>
      </right>
      <top style="thin">
        <color indexed="64"/>
      </top>
      <bottom/>
      <diagonal/>
    </border>
    <border>
      <left/>
      <right style="thick">
        <color rgb="FFFF0000"/>
      </right>
      <top/>
      <bottom/>
      <diagonal/>
    </border>
    <border>
      <left/>
      <right style="thick">
        <color rgb="FFFF0000"/>
      </right>
      <top style="thin">
        <color indexed="64"/>
      </top>
      <bottom style="thin">
        <color indexed="64"/>
      </bottom>
      <diagonal/>
    </border>
    <border>
      <left/>
      <right style="thick">
        <color rgb="FFFF0000"/>
      </right>
      <top style="thin">
        <color indexed="64"/>
      </top>
      <bottom style="hair">
        <color indexed="64"/>
      </bottom>
      <diagonal/>
    </border>
    <border>
      <left/>
      <right style="thick">
        <color rgb="FFFF0000"/>
      </right>
      <top style="hair">
        <color auto="1"/>
      </top>
      <bottom style="hair">
        <color auto="1"/>
      </bottom>
      <diagonal/>
    </border>
    <border>
      <left/>
      <right style="thick">
        <color rgb="FFFF0000"/>
      </right>
      <top style="hair">
        <color indexed="64"/>
      </top>
      <bottom/>
      <diagonal/>
    </border>
    <border>
      <left/>
      <right style="thick">
        <color rgb="FFFF0000"/>
      </right>
      <top/>
      <bottom style="thin">
        <color indexed="64"/>
      </bottom>
      <diagonal/>
    </border>
    <border>
      <left/>
      <right style="thick">
        <color rgb="FFFF0000"/>
      </right>
      <top style="hair">
        <color indexed="64"/>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otted">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4">
    <xf numFmtId="0" fontId="0" fillId="0" borderId="0"/>
    <xf numFmtId="9" fontId="3" fillId="0" borderId="0" applyFont="0" applyFill="0" applyBorder="0" applyAlignment="0" applyProtection="0"/>
    <xf numFmtId="38" fontId="3" fillId="0" borderId="0" applyFont="0" applyFill="0" applyBorder="0" applyAlignment="0" applyProtection="0"/>
    <xf numFmtId="38"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13" fillId="0" borderId="0"/>
    <xf numFmtId="0" fontId="10" fillId="0" borderId="0"/>
    <xf numFmtId="0" fontId="7" fillId="0" borderId="0">
      <alignment vertical="center"/>
    </xf>
    <xf numFmtId="0" fontId="7" fillId="0" borderId="0">
      <alignment vertical="center"/>
    </xf>
    <xf numFmtId="0" fontId="7" fillId="0" borderId="0"/>
    <xf numFmtId="0" fontId="3" fillId="0" borderId="0">
      <alignment vertical="center"/>
    </xf>
    <xf numFmtId="38" fontId="3" fillId="0" borderId="0" applyFont="0" applyFill="0" applyBorder="0" applyAlignment="0" applyProtection="0"/>
    <xf numFmtId="0" fontId="3" fillId="0" borderId="0"/>
    <xf numFmtId="0" fontId="3" fillId="0" borderId="0"/>
    <xf numFmtId="0" fontId="2" fillId="0" borderId="0">
      <alignment vertical="center"/>
    </xf>
    <xf numFmtId="0" fontId="56" fillId="0" borderId="0"/>
    <xf numFmtId="9" fontId="3" fillId="0" borderId="0" applyFont="0" applyFill="0" applyBorder="0" applyAlignment="0" applyProtection="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xf numFmtId="0" fontId="67" fillId="0" borderId="0">
      <alignment vertical="center"/>
    </xf>
    <xf numFmtId="0" fontId="3" fillId="0" borderId="0">
      <alignment vertical="center"/>
    </xf>
    <xf numFmtId="0" fontId="3" fillId="0" borderId="0">
      <alignment vertical="center"/>
    </xf>
    <xf numFmtId="0" fontId="3" fillId="0" borderId="0">
      <alignment vertical="center"/>
    </xf>
    <xf numFmtId="0" fontId="75" fillId="0" borderId="0"/>
    <xf numFmtId="0" fontId="3" fillId="0" borderId="0">
      <alignment vertical="center"/>
    </xf>
    <xf numFmtId="0" fontId="3" fillId="0" borderId="0">
      <alignment vertical="center"/>
    </xf>
    <xf numFmtId="0" fontId="77" fillId="0" borderId="0" applyNumberFormat="0" applyFill="0" applyBorder="0" applyAlignment="0" applyProtection="0"/>
    <xf numFmtId="0" fontId="1" fillId="0" borderId="0">
      <alignment vertical="center"/>
    </xf>
  </cellStyleXfs>
  <cellXfs count="2109">
    <xf numFmtId="0" fontId="0" fillId="0" borderId="0" xfId="0"/>
    <xf numFmtId="0" fontId="6" fillId="0" borderId="0" xfId="0" applyFont="1" applyAlignment="1">
      <alignment horizontal="center" vertical="center"/>
    </xf>
    <xf numFmtId="0" fontId="8" fillId="0" borderId="0" xfId="0" applyFont="1" applyAlignment="1">
      <alignment horizontal="distributed" vertical="center"/>
    </xf>
    <xf numFmtId="0" fontId="3"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2" xfId="0" applyBorder="1" applyAlignment="1">
      <alignment horizontal="centerContinuous"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10" fillId="0" borderId="2" xfId="0" applyFont="1" applyBorder="1" applyAlignment="1">
      <alignment vertical="center"/>
    </xf>
    <xf numFmtId="0" fontId="3" fillId="0" borderId="8" xfId="0" applyFont="1" applyBorder="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3" fillId="0" borderId="0" xfId="0" applyFont="1"/>
    <xf numFmtId="176" fontId="3" fillId="0" borderId="0" xfId="0" applyNumberFormat="1" applyFont="1"/>
    <xf numFmtId="0" fontId="3" fillId="0" borderId="8" xfId="0" applyFont="1" applyBorder="1" applyAlignment="1">
      <alignment horizontal="center" vertical="center"/>
    </xf>
    <xf numFmtId="0" fontId="0" fillId="0" borderId="1" xfId="0" applyBorder="1" applyAlignment="1">
      <alignment horizontal="center" vertical="center"/>
    </xf>
    <xf numFmtId="0" fontId="10" fillId="0" borderId="9" xfId="0" applyFont="1" applyBorder="1" applyAlignment="1">
      <alignment vertical="center"/>
    </xf>
    <xf numFmtId="0" fontId="10" fillId="0" borderId="10" xfId="0" applyFont="1" applyBorder="1"/>
    <xf numFmtId="0" fontId="10" fillId="0" borderId="10" xfId="0" applyFont="1" applyBorder="1" applyAlignment="1">
      <alignment vertical="center"/>
    </xf>
    <xf numFmtId="0" fontId="10" fillId="0" borderId="9" xfId="0" applyFont="1" applyBorder="1"/>
    <xf numFmtId="0" fontId="3" fillId="0" borderId="8" xfId="8" applyFont="1" applyBorder="1" applyAlignment="1">
      <alignment vertical="center"/>
    </xf>
    <xf numFmtId="0" fontId="3" fillId="0" borderId="0" xfId="8" applyFont="1" applyAlignment="1">
      <alignment vertical="center"/>
    </xf>
    <xf numFmtId="3" fontId="3" fillId="0" borderId="0" xfId="8" applyNumberFormat="1" applyFont="1" applyAlignment="1">
      <alignment vertical="center"/>
    </xf>
    <xf numFmtId="0" fontId="3" fillId="0" borderId="0" xfId="8" applyFont="1" applyAlignment="1">
      <alignment horizontal="right" vertical="center"/>
    </xf>
    <xf numFmtId="0" fontId="3" fillId="0" borderId="1" xfId="8" applyFont="1" applyBorder="1" applyAlignment="1">
      <alignment horizontal="right" vertical="center"/>
    </xf>
    <xf numFmtId="0" fontId="10" fillId="0" borderId="0" xfId="8" applyFont="1" applyAlignment="1">
      <alignment vertical="center"/>
    </xf>
    <xf numFmtId="0" fontId="10" fillId="0" borderId="2" xfId="8" applyFont="1" applyBorder="1" applyAlignment="1">
      <alignment vertical="center"/>
    </xf>
    <xf numFmtId="3" fontId="10" fillId="0" borderId="0" xfId="8" applyNumberFormat="1" applyFont="1" applyAlignment="1">
      <alignment vertical="center"/>
    </xf>
    <xf numFmtId="0" fontId="3" fillId="0" borderId="2" xfId="0" applyFont="1" applyBorder="1" applyAlignment="1">
      <alignment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0" fillId="0" borderId="0" xfId="0" applyAlignment="1">
      <alignment vertical="center" wrapText="1"/>
    </xf>
    <xf numFmtId="0" fontId="10" fillId="0" borderId="0" xfId="0" applyFont="1" applyAlignment="1">
      <alignment vertical="center"/>
    </xf>
    <xf numFmtId="0" fontId="10" fillId="0" borderId="11" xfId="8" applyFont="1" applyBorder="1" applyAlignment="1">
      <alignment vertical="center"/>
    </xf>
    <xf numFmtId="0" fontId="10" fillId="0" borderId="12" xfId="8" applyFont="1" applyBorder="1" applyAlignment="1">
      <alignment vertical="center"/>
    </xf>
    <xf numFmtId="0" fontId="10" fillId="0" borderId="10" xfId="8" applyFont="1" applyBorder="1" applyAlignment="1">
      <alignment vertical="center"/>
    </xf>
    <xf numFmtId="0" fontId="10" fillId="0" borderId="6" xfId="8" applyFont="1" applyBorder="1" applyAlignment="1">
      <alignment horizontal="center" vertical="center"/>
    </xf>
    <xf numFmtId="0" fontId="10" fillId="0" borderId="3" xfId="8" applyFont="1" applyBorder="1" applyAlignment="1">
      <alignment horizontal="center" vertical="center"/>
    </xf>
    <xf numFmtId="0" fontId="10" fillId="0" borderId="13" xfId="8" applyFont="1" applyBorder="1" applyAlignment="1">
      <alignment horizontal="center" vertical="center"/>
    </xf>
    <xf numFmtId="0" fontId="10" fillId="0" borderId="14" xfId="8" applyFont="1" applyBorder="1" applyAlignment="1">
      <alignment horizontal="center" vertical="center"/>
    </xf>
    <xf numFmtId="0" fontId="10" fillId="0" borderId="15" xfId="0" applyFont="1" applyBorder="1" applyAlignment="1">
      <alignment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pplyAlignment="1">
      <alignment horizontal="right" vertical="center"/>
    </xf>
    <xf numFmtId="0" fontId="10" fillId="0" borderId="3" xfId="0" applyFont="1" applyBorder="1" applyAlignment="1">
      <alignment vertical="center"/>
    </xf>
    <xf numFmtId="0" fontId="10" fillId="0" borderId="16" xfId="0" applyFont="1" applyBorder="1" applyAlignment="1">
      <alignment horizontal="center" vertical="center"/>
    </xf>
    <xf numFmtId="0" fontId="10" fillId="0" borderId="16" xfId="0" applyFont="1" applyBorder="1" applyAlignment="1">
      <alignment vertical="center"/>
    </xf>
    <xf numFmtId="0" fontId="10" fillId="0" borderId="3" xfId="0" applyFont="1" applyBorder="1"/>
    <xf numFmtId="0" fontId="10" fillId="0" borderId="16" xfId="0" applyFont="1" applyBorder="1" applyAlignment="1">
      <alignment horizontal="center"/>
    </xf>
    <xf numFmtId="0" fontId="10" fillId="0" borderId="16" xfId="0" applyFont="1" applyBorder="1"/>
    <xf numFmtId="0" fontId="10" fillId="0" borderId="3" xfId="0" applyFont="1" applyBorder="1" applyAlignment="1">
      <alignment horizontal="right"/>
    </xf>
    <xf numFmtId="0" fontId="10" fillId="0" borderId="0" xfId="0" applyFont="1"/>
    <xf numFmtId="0" fontId="10" fillId="0" borderId="17" xfId="0" applyFont="1" applyBorder="1"/>
    <xf numFmtId="0" fontId="3" fillId="0" borderId="4" xfId="0" applyFont="1" applyBorder="1" applyAlignment="1">
      <alignment vertical="center"/>
    </xf>
    <xf numFmtId="0" fontId="3" fillId="0" borderId="7" xfId="0" applyFont="1" applyBorder="1" applyAlignment="1">
      <alignment horizontal="center" vertical="center"/>
    </xf>
    <xf numFmtId="0" fontId="10" fillId="0" borderId="18" xfId="8" applyFont="1" applyBorder="1" applyAlignment="1">
      <alignment horizontal="center" vertical="center"/>
    </xf>
    <xf numFmtId="0" fontId="10" fillId="0" borderId="17" xfId="8" applyFont="1" applyBorder="1" applyAlignment="1">
      <alignment vertical="center"/>
    </xf>
    <xf numFmtId="0" fontId="3" fillId="0" borderId="2" xfId="8" applyFont="1" applyBorder="1" applyAlignment="1">
      <alignment vertical="center"/>
    </xf>
    <xf numFmtId="0" fontId="10" fillId="0" borderId="8" xfId="8" applyFont="1" applyBorder="1" applyAlignment="1">
      <alignment vertical="center"/>
    </xf>
    <xf numFmtId="0" fontId="10" fillId="0" borderId="6" xfId="0" applyFont="1" applyBorder="1" applyAlignment="1">
      <alignment horizontal="center" vertical="center"/>
    </xf>
    <xf numFmtId="0" fontId="10" fillId="0" borderId="3" xfId="0" applyFont="1" applyBorder="1" applyAlignment="1">
      <alignment horizontal="center"/>
    </xf>
    <xf numFmtId="0" fontId="10" fillId="0" borderId="20" xfId="0" applyFont="1" applyBorder="1" applyAlignment="1">
      <alignment vertical="center"/>
    </xf>
    <xf numFmtId="0" fontId="12" fillId="0" borderId="0" xfId="0" applyFont="1" applyAlignment="1">
      <alignment vertical="center"/>
    </xf>
    <xf numFmtId="0" fontId="8" fillId="0" borderId="0" xfId="0" applyFont="1" applyAlignment="1">
      <alignment vertical="center"/>
    </xf>
    <xf numFmtId="0" fontId="8" fillId="0" borderId="0" xfId="0" applyFont="1" applyAlignment="1">
      <alignment horizontal="centerContinuous" vertical="center"/>
    </xf>
    <xf numFmtId="0" fontId="3" fillId="0" borderId="0" xfId="0" applyFont="1" applyAlignment="1">
      <alignment wrapText="1"/>
    </xf>
    <xf numFmtId="0" fontId="3" fillId="0" borderId="0" xfId="0" applyFont="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xf>
    <xf numFmtId="0" fontId="15" fillId="0" borderId="0" xfId="8" applyFont="1" applyAlignment="1">
      <alignment horizontal="center" vertical="center"/>
    </xf>
    <xf numFmtId="0" fontId="15" fillId="0" borderId="2" xfId="8" applyFont="1" applyBorder="1" applyAlignment="1">
      <alignment horizontal="center" vertical="center"/>
    </xf>
    <xf numFmtId="0" fontId="10" fillId="0" borderId="9" xfId="8" applyFont="1" applyBorder="1" applyAlignment="1">
      <alignment vertical="center"/>
    </xf>
    <xf numFmtId="0" fontId="10" fillId="0" borderId="0" xfId="0" applyFont="1" applyAlignment="1">
      <alignment horizontal="center" vertical="center"/>
    </xf>
    <xf numFmtId="0" fontId="16" fillId="0" borderId="0" xfId="0" applyFont="1" applyAlignment="1">
      <alignment horizontal="center" vertical="center"/>
    </xf>
    <xf numFmtId="0" fontId="8" fillId="0" borderId="5" xfId="8" applyFont="1" applyBorder="1" applyAlignment="1">
      <alignment vertical="center" wrapText="1"/>
    </xf>
    <xf numFmtId="0" fontId="9" fillId="0" borderId="21" xfId="8" applyFont="1" applyBorder="1" applyAlignment="1">
      <alignment horizontal="right" vertical="center"/>
    </xf>
    <xf numFmtId="0" fontId="9" fillId="0" borderId="22" xfId="8" applyFont="1" applyBorder="1" applyAlignment="1">
      <alignment horizontal="right" vertical="center"/>
    </xf>
    <xf numFmtId="0" fontId="9" fillId="0" borderId="20" xfId="8" applyFont="1" applyBorder="1" applyAlignment="1">
      <alignment horizontal="right" vertical="center"/>
    </xf>
    <xf numFmtId="0" fontId="9" fillId="0" borderId="5" xfId="8" applyFont="1" applyBorder="1" applyAlignment="1">
      <alignment horizontal="right" vertical="center"/>
    </xf>
    <xf numFmtId="0" fontId="9" fillId="0" borderId="23" xfId="8" applyFont="1" applyBorder="1" applyAlignment="1">
      <alignment horizontal="right" vertical="center"/>
    </xf>
    <xf numFmtId="0" fontId="9" fillId="0" borderId="24" xfId="8" applyFont="1" applyBorder="1" applyAlignment="1">
      <alignment horizontal="right" vertical="center"/>
    </xf>
    <xf numFmtId="0" fontId="9" fillId="0" borderId="0" xfId="8" applyFont="1" applyAlignment="1">
      <alignment horizontal="right" vertical="center"/>
    </xf>
    <xf numFmtId="0" fontId="19" fillId="0" borderId="0" xfId="0" applyFont="1" applyAlignment="1">
      <alignment vertical="center"/>
    </xf>
    <xf numFmtId="0" fontId="10" fillId="2" borderId="25" xfId="0" applyFont="1" applyFill="1" applyBorder="1" applyAlignment="1" applyProtection="1">
      <alignment vertical="center"/>
      <protection locked="0"/>
    </xf>
    <xf numFmtId="0" fontId="8" fillId="0" borderId="15"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xf>
    <xf numFmtId="0" fontId="8" fillId="0" borderId="9" xfId="0" applyFont="1" applyBorder="1"/>
    <xf numFmtId="0" fontId="8" fillId="0" borderId="10" xfId="0" applyFont="1" applyBorder="1"/>
    <xf numFmtId="0" fontId="8" fillId="0" borderId="17" xfId="0" applyFont="1" applyBorder="1"/>
    <xf numFmtId="0" fontId="20" fillId="0" borderId="4" xfId="8" applyFont="1" applyBorder="1" applyAlignment="1">
      <alignment vertical="center" wrapText="1"/>
    </xf>
    <xf numFmtId="0" fontId="20" fillId="0" borderId="15" xfId="8" applyFont="1" applyBorder="1" applyAlignment="1">
      <alignment vertical="center" wrapText="1"/>
    </xf>
    <xf numFmtId="0" fontId="21" fillId="0" borderId="15" xfId="8" applyFont="1" applyBorder="1" applyAlignment="1">
      <alignment vertical="center" wrapText="1"/>
    </xf>
    <xf numFmtId="0" fontId="21" fillId="0" borderId="0" xfId="8" applyFont="1" applyAlignment="1">
      <alignment vertical="center" wrapText="1"/>
    </xf>
    <xf numFmtId="0" fontId="21" fillId="0" borderId="4" xfId="8" applyFont="1" applyBorder="1" applyAlignment="1">
      <alignment vertical="center" wrapText="1"/>
    </xf>
    <xf numFmtId="0" fontId="12" fillId="0" borderId="0" xfId="0" applyFont="1" applyAlignment="1">
      <alignment horizontal="centerContinuous" vertical="center"/>
    </xf>
    <xf numFmtId="0" fontId="22" fillId="0" borderId="0" xfId="0" quotePrefix="1" applyFont="1" applyAlignment="1">
      <alignment vertical="center"/>
    </xf>
    <xf numFmtId="0" fontId="12" fillId="0" borderId="0" xfId="8" applyFont="1" applyAlignment="1">
      <alignment vertical="center"/>
    </xf>
    <xf numFmtId="0" fontId="21" fillId="0" borderId="26" xfId="8" applyFont="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10" fillId="2" borderId="11" xfId="8" applyFont="1" applyFill="1" applyBorder="1" applyAlignment="1" applyProtection="1">
      <alignment vertical="center"/>
      <protection locked="0"/>
    </xf>
    <xf numFmtId="0" fontId="10" fillId="2" borderId="17" xfId="8" applyFont="1" applyFill="1" applyBorder="1" applyAlignment="1" applyProtection="1">
      <alignment vertical="center"/>
      <protection locked="0"/>
    </xf>
    <xf numFmtId="0" fontId="22" fillId="0" borderId="0" xfId="0" applyFont="1" applyAlignment="1">
      <alignment horizontal="centerContinuous" vertical="center"/>
    </xf>
    <xf numFmtId="0" fontId="10" fillId="0" borderId="0" xfId="0" applyFont="1" applyAlignment="1">
      <alignment horizontal="centerContinuous" vertical="center"/>
    </xf>
    <xf numFmtId="0" fontId="10" fillId="0" borderId="0" xfId="0" applyFont="1" applyAlignment="1">
      <alignment horizontal="righ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38" fontId="0" fillId="0" borderId="0" xfId="0" applyNumberFormat="1" applyAlignment="1">
      <alignment vertical="center"/>
    </xf>
    <xf numFmtId="0" fontId="21" fillId="0" borderId="12" xfId="8" applyFont="1" applyBorder="1" applyAlignment="1">
      <alignment vertical="center"/>
    </xf>
    <xf numFmtId="3" fontId="10" fillId="2" borderId="33" xfId="0" applyNumberFormat="1" applyFont="1" applyFill="1" applyBorder="1" applyAlignment="1" applyProtection="1">
      <alignment vertical="center"/>
      <protection locked="0"/>
    </xf>
    <xf numFmtId="3" fontId="10" fillId="2" borderId="25" xfId="0" applyNumberFormat="1" applyFont="1" applyFill="1" applyBorder="1" applyProtection="1">
      <protection locked="0"/>
    </xf>
    <xf numFmtId="0" fontId="16" fillId="0" borderId="0" xfId="0" applyFont="1" applyAlignment="1">
      <alignment horizontal="center" vertical="center" wrapText="1"/>
    </xf>
    <xf numFmtId="0" fontId="16" fillId="0" borderId="34"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0" fillId="0" borderId="0" xfId="0" applyAlignment="1" applyProtection="1">
      <alignment vertical="center"/>
      <protection hidden="1"/>
    </xf>
    <xf numFmtId="0" fontId="16" fillId="0" borderId="35"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38" fontId="3" fillId="3" borderId="1" xfId="2" applyFill="1" applyBorder="1" applyAlignment="1" applyProtection="1">
      <alignment vertical="center"/>
      <protection hidden="1"/>
    </xf>
    <xf numFmtId="0" fontId="3" fillId="0" borderId="1"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37" xfId="8" applyFont="1" applyBorder="1" applyAlignment="1" applyProtection="1">
      <alignment horizontal="center" vertical="center"/>
      <protection hidden="1"/>
    </xf>
    <xf numFmtId="0" fontId="15" fillId="0" borderId="27" xfId="8" applyFont="1" applyBorder="1" applyAlignment="1" applyProtection="1">
      <alignment horizontal="center" vertical="center"/>
      <protection hidden="1"/>
    </xf>
    <xf numFmtId="3" fontId="10" fillId="3" borderId="25" xfId="0" applyNumberFormat="1" applyFont="1" applyFill="1" applyBorder="1" applyAlignment="1" applyProtection="1">
      <alignment vertical="center"/>
      <protection hidden="1"/>
    </xf>
    <xf numFmtId="0" fontId="10" fillId="0" borderId="29" xfId="8" applyFont="1" applyBorder="1" applyAlignment="1" applyProtection="1">
      <alignment vertical="center"/>
      <protection hidden="1"/>
    </xf>
    <xf numFmtId="0" fontId="15" fillId="0" borderId="38" xfId="8" applyFont="1" applyBorder="1" applyAlignment="1" applyProtection="1">
      <alignment horizontal="center" vertical="center"/>
      <protection hidden="1"/>
    </xf>
    <xf numFmtId="0" fontId="10" fillId="0" borderId="30" xfId="8" applyFont="1" applyBorder="1" applyAlignment="1" applyProtection="1">
      <alignment vertical="center"/>
      <protection hidden="1"/>
    </xf>
    <xf numFmtId="0" fontId="15" fillId="0" borderId="28" xfId="8" applyFont="1" applyBorder="1" applyAlignment="1" applyProtection="1">
      <alignment horizontal="center" vertical="center"/>
      <protection hidden="1"/>
    </xf>
    <xf numFmtId="0" fontId="10" fillId="0" borderId="39" xfId="8" applyFont="1" applyBorder="1" applyAlignment="1" applyProtection="1">
      <alignment vertical="center"/>
      <protection hidden="1"/>
    </xf>
    <xf numFmtId="0" fontId="10" fillId="0" borderId="3" xfId="8" applyFont="1" applyBorder="1" applyAlignment="1" applyProtection="1">
      <alignment vertical="center"/>
      <protection hidden="1"/>
    </xf>
    <xf numFmtId="0" fontId="15" fillId="0" borderId="40" xfId="8" applyFont="1" applyBorder="1" applyAlignment="1" applyProtection="1">
      <alignment horizontal="center" vertical="center"/>
      <protection hidden="1"/>
    </xf>
    <xf numFmtId="0" fontId="10" fillId="0" borderId="41" xfId="8" applyFont="1" applyBorder="1" applyAlignment="1" applyProtection="1">
      <alignment vertical="center"/>
      <protection hidden="1"/>
    </xf>
    <xf numFmtId="0" fontId="10" fillId="0" borderId="18" xfId="8" applyFont="1" applyBorder="1" applyAlignment="1" applyProtection="1">
      <alignment vertical="center"/>
      <protection hidden="1"/>
    </xf>
    <xf numFmtId="0" fontId="15" fillId="0" borderId="42" xfId="8" applyFont="1" applyBorder="1" applyAlignment="1" applyProtection="1">
      <alignment horizontal="center" vertical="center"/>
      <protection hidden="1"/>
    </xf>
    <xf numFmtId="0" fontId="10" fillId="0" borderId="0" xfId="0" applyFont="1" applyAlignment="1" applyProtection="1">
      <alignment vertical="center"/>
      <protection hidden="1"/>
    </xf>
    <xf numFmtId="0" fontId="0" fillId="0" borderId="0" xfId="0" applyAlignment="1" applyProtection="1">
      <alignment horizontal="centerContinuous" vertical="center"/>
      <protection hidden="1"/>
    </xf>
    <xf numFmtId="0" fontId="23" fillId="0" borderId="4" xfId="0" applyFont="1" applyBorder="1" applyAlignment="1" applyProtection="1">
      <alignment horizontal="center" vertical="center"/>
      <protection hidden="1"/>
    </xf>
    <xf numFmtId="0" fontId="23" fillId="0" borderId="4" xfId="0" applyFont="1" applyBorder="1" applyAlignment="1" applyProtection="1">
      <alignment vertical="center"/>
      <protection hidden="1"/>
    </xf>
    <xf numFmtId="0" fontId="23" fillId="0" borderId="0" xfId="0" applyFont="1" applyAlignment="1" applyProtection="1">
      <alignment vertical="center"/>
      <protection hidden="1"/>
    </xf>
    <xf numFmtId="0" fontId="0" fillId="0" borderId="7" xfId="0" applyBorder="1" applyAlignment="1" applyProtection="1">
      <alignment horizontal="center" vertical="center"/>
      <protection hidden="1"/>
    </xf>
    <xf numFmtId="0" fontId="16" fillId="0" borderId="43" xfId="0" applyFont="1" applyBorder="1" applyAlignment="1" applyProtection="1">
      <alignment horizontal="center" vertical="center"/>
      <protection hidden="1"/>
    </xf>
    <xf numFmtId="180" fontId="3" fillId="2" borderId="27" xfId="8" applyNumberFormat="1" applyFont="1" applyFill="1" applyBorder="1" applyAlignment="1" applyProtection="1">
      <alignment vertical="center"/>
      <protection locked="0"/>
    </xf>
    <xf numFmtId="178" fontId="3" fillId="2" borderId="28" xfId="8" applyNumberFormat="1" applyFont="1" applyFill="1" applyBorder="1" applyAlignment="1" applyProtection="1">
      <alignment vertical="center"/>
      <protection locked="0"/>
    </xf>
    <xf numFmtId="0" fontId="20" fillId="0" borderId="0" xfId="0" applyFont="1" applyAlignment="1" applyProtection="1">
      <alignment vertical="center"/>
      <protection hidden="1"/>
    </xf>
    <xf numFmtId="0" fontId="10" fillId="0" borderId="24" xfId="0" applyFont="1" applyBorder="1" applyAlignment="1">
      <alignment vertical="center"/>
    </xf>
    <xf numFmtId="0" fontId="15"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0" fillId="0" borderId="0" xfId="0" applyFont="1" applyAlignment="1" applyProtection="1">
      <alignment horizontal="centerContinuous" vertical="center"/>
      <protection hidden="1"/>
    </xf>
    <xf numFmtId="0" fontId="10" fillId="0" borderId="0" xfId="0" applyFont="1" applyProtection="1">
      <protection hidden="1"/>
    </xf>
    <xf numFmtId="0" fontId="8" fillId="0" borderId="0" xfId="0" applyFont="1" applyAlignment="1" applyProtection="1">
      <alignment horizontal="centerContinuous" vertical="center"/>
      <protection hidden="1"/>
    </xf>
    <xf numFmtId="0" fontId="10" fillId="0" borderId="0" xfId="0" applyFont="1" applyAlignment="1">
      <alignment horizontal="left" vertical="center" indent="4"/>
    </xf>
    <xf numFmtId="0" fontId="10" fillId="0" borderId="0" xfId="8" applyFont="1" applyAlignment="1">
      <alignment horizontal="left" vertical="center" indent="7"/>
    </xf>
    <xf numFmtId="0" fontId="8" fillId="0" borderId="17" xfId="0" applyFont="1" applyBorder="1" applyAlignment="1" applyProtection="1">
      <alignment vertical="center"/>
      <protection hidden="1"/>
    </xf>
    <xf numFmtId="0" fontId="8" fillId="0" borderId="4" xfId="0" applyFont="1" applyBorder="1" applyAlignment="1" applyProtection="1">
      <alignment vertical="center"/>
      <protection hidden="1"/>
    </xf>
    <xf numFmtId="0" fontId="10" fillId="2" borderId="1"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25" xfId="0" applyFont="1" applyFill="1" applyBorder="1" applyAlignment="1" applyProtection="1">
      <alignment horizontal="right" vertical="center"/>
      <protection locked="0"/>
    </xf>
    <xf numFmtId="0" fontId="3" fillId="2" borderId="38" xfId="8" applyFont="1" applyFill="1" applyBorder="1" applyAlignment="1" applyProtection="1">
      <alignment horizontal="center" vertical="center"/>
      <protection locked="0"/>
    </xf>
    <xf numFmtId="0" fontId="3" fillId="2" borderId="42" xfId="8" applyFont="1" applyFill="1" applyBorder="1" applyAlignment="1" applyProtection="1">
      <alignment horizontal="center" vertical="center"/>
      <protection locked="0"/>
    </xf>
    <xf numFmtId="0" fontId="3" fillId="2" borderId="37" xfId="8" applyFont="1" applyFill="1" applyBorder="1" applyAlignment="1" applyProtection="1">
      <alignment horizontal="center" vertical="center"/>
      <protection locked="0"/>
    </xf>
    <xf numFmtId="0" fontId="10" fillId="2" borderId="37" xfId="8" applyFont="1" applyFill="1" applyBorder="1" applyAlignment="1" applyProtection="1">
      <alignment horizontal="center" vertical="center"/>
      <protection locked="0"/>
    </xf>
    <xf numFmtId="0" fontId="26" fillId="0" borderId="0" xfId="0" applyFont="1" applyAlignment="1" applyProtection="1">
      <alignment vertical="center"/>
      <protection hidden="1"/>
    </xf>
    <xf numFmtId="0" fontId="8" fillId="0" borderId="44" xfId="0" applyFont="1" applyBorder="1" applyAlignment="1">
      <alignment vertical="center"/>
    </xf>
    <xf numFmtId="0" fontId="10" fillId="0" borderId="0" xfId="0" applyFont="1" applyAlignment="1">
      <alignment horizontal="center"/>
    </xf>
    <xf numFmtId="0" fontId="8" fillId="0" borderId="0" xfId="0" applyFont="1"/>
    <xf numFmtId="0" fontId="8" fillId="0" borderId="26" xfId="0" applyFont="1" applyBorder="1" applyAlignment="1">
      <alignment vertical="center"/>
    </xf>
    <xf numFmtId="0" fontId="8" fillId="0" borderId="44" xfId="0" applyFont="1" applyBorder="1"/>
    <xf numFmtId="0" fontId="8" fillId="0" borderId="16" xfId="0" applyFont="1" applyBorder="1" applyAlignment="1">
      <alignment vertical="center"/>
    </xf>
    <xf numFmtId="0" fontId="8" fillId="0" borderId="45" xfId="0" applyFont="1" applyBorder="1" applyAlignment="1">
      <alignment vertical="center"/>
    </xf>
    <xf numFmtId="0" fontId="15" fillId="0" borderId="16" xfId="0" applyFont="1" applyBorder="1" applyAlignment="1" applyProtection="1">
      <alignment horizontal="center" vertical="center"/>
      <protection hidden="1"/>
    </xf>
    <xf numFmtId="0" fontId="22" fillId="0" borderId="0" xfId="0" applyFont="1" applyAlignment="1" applyProtection="1">
      <alignment vertical="center"/>
      <protection hidden="1"/>
    </xf>
    <xf numFmtId="0" fontId="10" fillId="0" borderId="2" xfId="0" applyFont="1" applyBorder="1" applyAlignment="1">
      <alignment horizontal="centerContinuous" vertical="center"/>
    </xf>
    <xf numFmtId="0" fontId="10" fillId="0" borderId="0" xfId="0" applyFont="1" applyAlignment="1">
      <alignment horizontal="right"/>
    </xf>
    <xf numFmtId="0" fontId="7" fillId="0" borderId="8" xfId="0" applyFont="1" applyBorder="1" applyAlignment="1">
      <alignment horizontal="center" vertical="center"/>
    </xf>
    <xf numFmtId="49" fontId="7" fillId="0" borderId="2" xfId="0" applyNumberFormat="1" applyFont="1" applyBorder="1" applyAlignment="1">
      <alignment horizontal="left" vertical="center"/>
    </xf>
    <xf numFmtId="0" fontId="7" fillId="0" borderId="2" xfId="0" applyFont="1" applyBorder="1" applyAlignment="1">
      <alignment vertical="center"/>
    </xf>
    <xf numFmtId="0" fontId="7" fillId="0" borderId="1" xfId="0" applyFont="1" applyBorder="1" applyAlignment="1">
      <alignment vertical="center"/>
    </xf>
    <xf numFmtId="0" fontId="10" fillId="0" borderId="0" xfId="10" applyFont="1" applyAlignment="1">
      <alignment horizontal="left" vertical="center"/>
    </xf>
    <xf numFmtId="0" fontId="10" fillId="0" borderId="0" xfId="10" applyFont="1">
      <alignment vertical="center"/>
    </xf>
    <xf numFmtId="0" fontId="10" fillId="0" borderId="0" xfId="10" applyFont="1" applyAlignment="1">
      <alignment horizontal="center" vertical="center"/>
    </xf>
    <xf numFmtId="0" fontId="10" fillId="0" borderId="46" xfId="10" applyFont="1" applyBorder="1" applyAlignment="1">
      <alignment horizontal="center" vertical="center"/>
    </xf>
    <xf numFmtId="0" fontId="10" fillId="0" borderId="2" xfId="10" applyFont="1" applyBorder="1">
      <alignment vertical="center"/>
    </xf>
    <xf numFmtId="0" fontId="10" fillId="0" borderId="7" xfId="10" applyFont="1" applyBorder="1" applyAlignment="1">
      <alignment horizontal="center" vertical="center"/>
    </xf>
    <xf numFmtId="0" fontId="10" fillId="0" borderId="8" xfId="10" applyFont="1" applyBorder="1">
      <alignment vertical="center"/>
    </xf>
    <xf numFmtId="0" fontId="10" fillId="0" borderId="1" xfId="10" applyFont="1" applyBorder="1">
      <alignment vertical="center"/>
    </xf>
    <xf numFmtId="0" fontId="10" fillId="0" borderId="8" xfId="10" applyFont="1" applyBorder="1" applyAlignment="1">
      <alignment horizontal="left" vertical="center"/>
    </xf>
    <xf numFmtId="38" fontId="10" fillId="0" borderId="1" xfId="2" applyFont="1" applyBorder="1" applyAlignment="1">
      <alignment vertical="center"/>
    </xf>
    <xf numFmtId="0" fontId="10" fillId="0" borderId="8" xfId="0" applyFont="1" applyBorder="1" applyAlignment="1" applyProtection="1">
      <alignment vertical="center"/>
      <protection hidden="1"/>
    </xf>
    <xf numFmtId="0" fontId="10" fillId="0" borderId="2" xfId="0" applyFont="1" applyBorder="1" applyAlignment="1" applyProtection="1">
      <alignment vertical="center"/>
      <protection hidden="1"/>
    </xf>
    <xf numFmtId="0" fontId="7" fillId="0" borderId="0" xfId="0" applyFont="1" applyAlignment="1">
      <alignment vertical="center"/>
    </xf>
    <xf numFmtId="0" fontId="7" fillId="0" borderId="8" xfId="0" applyFont="1" applyBorder="1" applyAlignment="1" applyProtection="1">
      <alignment vertical="center"/>
      <protection hidden="1"/>
    </xf>
    <xf numFmtId="0" fontId="7" fillId="0" borderId="0" xfId="0" applyFont="1" applyAlignment="1">
      <alignment horizontal="centerContinuous" vertical="center"/>
    </xf>
    <xf numFmtId="0" fontId="7" fillId="0" borderId="5" xfId="0" applyFont="1" applyBorder="1" applyAlignment="1">
      <alignment vertical="center"/>
    </xf>
    <xf numFmtId="0" fontId="7" fillId="0" borderId="2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37" xfId="0" applyFont="1" applyBorder="1" applyAlignment="1">
      <alignment vertical="center"/>
    </xf>
    <xf numFmtId="0" fontId="7" fillId="0" borderId="0" xfId="0" applyFont="1"/>
    <xf numFmtId="0" fontId="7" fillId="0" borderId="0" xfId="0" applyFont="1" applyAlignment="1">
      <alignment horizontal="center" vertical="center"/>
    </xf>
    <xf numFmtId="0" fontId="7" fillId="0" borderId="18" xfId="0" applyFont="1" applyBorder="1"/>
    <xf numFmtId="0" fontId="7" fillId="0" borderId="17" xfId="0" applyFont="1" applyBorder="1"/>
    <xf numFmtId="0" fontId="7" fillId="0" borderId="17" xfId="0" applyFont="1" applyBorder="1" applyAlignment="1">
      <alignment horizontal="right"/>
    </xf>
    <xf numFmtId="0" fontId="7" fillId="0" borderId="36" xfId="10" applyBorder="1" applyAlignment="1">
      <alignment horizontal="center" vertical="center"/>
    </xf>
    <xf numFmtId="0" fontId="7" fillId="0" borderId="49" xfId="10" applyBorder="1" applyAlignment="1">
      <alignment horizontal="center" vertical="center"/>
    </xf>
    <xf numFmtId="49" fontId="10" fillId="0" borderId="8" xfId="10" applyNumberFormat="1" applyFont="1" applyBorder="1" applyAlignment="1">
      <alignment horizontal="left" vertical="center"/>
    </xf>
    <xf numFmtId="0" fontId="7" fillId="0" borderId="8" xfId="0" applyFont="1" applyBorder="1" applyAlignment="1">
      <alignment vertical="center"/>
    </xf>
    <xf numFmtId="0" fontId="10" fillId="0" borderId="1" xfId="0" applyFont="1" applyBorder="1" applyAlignment="1" applyProtection="1">
      <alignment vertical="center"/>
      <protection hidden="1"/>
    </xf>
    <xf numFmtId="0" fontId="10" fillId="0" borderId="50" xfId="10" applyFont="1" applyBorder="1" applyProtection="1">
      <alignment vertical="center"/>
      <protection hidden="1"/>
    </xf>
    <xf numFmtId="0" fontId="28" fillId="0" borderId="0" xfId="0" applyFont="1" applyAlignment="1">
      <alignment vertical="center"/>
    </xf>
    <xf numFmtId="38" fontId="0" fillId="0" borderId="1" xfId="2" applyFont="1" applyBorder="1" applyAlignment="1">
      <alignment horizontal="left" vertical="center"/>
    </xf>
    <xf numFmtId="0" fontId="10" fillId="0" borderId="0" xfId="10" applyFont="1" applyAlignment="1">
      <alignment vertical="center" wrapText="1"/>
    </xf>
    <xf numFmtId="0" fontId="22" fillId="0" borderId="7" xfId="10" applyFont="1" applyBorder="1" applyAlignment="1">
      <alignment horizontal="center" vertical="center"/>
    </xf>
    <xf numFmtId="0" fontId="23" fillId="0" borderId="0" xfId="10" applyFont="1" applyAlignment="1">
      <alignment horizontal="left" vertical="center" indent="1"/>
    </xf>
    <xf numFmtId="0" fontId="23" fillId="0" borderId="0" xfId="10" applyFont="1">
      <alignment vertical="center"/>
    </xf>
    <xf numFmtId="0" fontId="27" fillId="0" borderId="0" xfId="0" applyFont="1" applyAlignment="1">
      <alignment horizontal="right"/>
    </xf>
    <xf numFmtId="0" fontId="28" fillId="0" borderId="3" xfId="0" applyFont="1" applyBorder="1" applyAlignment="1">
      <alignment vertical="center"/>
    </xf>
    <xf numFmtId="0" fontId="23" fillId="0" borderId="0" xfId="9" applyFont="1" applyAlignment="1">
      <alignment vertical="center"/>
    </xf>
    <xf numFmtId="0" fontId="23" fillId="0" borderId="0" xfId="9" applyFont="1" applyAlignment="1">
      <alignment horizontal="center" vertical="center"/>
    </xf>
    <xf numFmtId="0" fontId="10" fillId="0" borderId="0" xfId="9" applyAlignment="1">
      <alignment vertical="center"/>
    </xf>
    <xf numFmtId="0" fontId="24" fillId="0" borderId="0" xfId="0" applyFont="1" applyAlignment="1">
      <alignment vertical="center"/>
    </xf>
    <xf numFmtId="0" fontId="7" fillId="0" borderId="0" xfId="0" applyFont="1" applyAlignment="1">
      <alignment horizontal="left" vertical="center" indent="1"/>
    </xf>
    <xf numFmtId="0" fontId="10" fillId="0" borderId="0" xfId="0" applyFont="1" applyAlignment="1">
      <alignment horizontal="left" vertical="center" indent="1"/>
    </xf>
    <xf numFmtId="0" fontId="27" fillId="0" borderId="0" xfId="9" applyFont="1" applyAlignment="1">
      <alignment vertical="center"/>
    </xf>
    <xf numFmtId="0" fontId="10" fillId="0" borderId="0" xfId="9" applyAlignment="1">
      <alignment vertical="center" wrapText="1"/>
    </xf>
    <xf numFmtId="182" fontId="10" fillId="3" borderId="7" xfId="0" applyNumberFormat="1" applyFont="1" applyFill="1" applyBorder="1" applyAlignment="1">
      <alignment horizontal="right" vertical="center"/>
    </xf>
    <xf numFmtId="0" fontId="10" fillId="0" borderId="8" xfId="0" applyFont="1" applyBorder="1" applyAlignment="1">
      <alignment vertical="center"/>
    </xf>
    <xf numFmtId="0" fontId="10" fillId="0" borderId="1" xfId="0" applyFont="1" applyBorder="1" applyAlignment="1">
      <alignment horizontal="centerContinuous" vertical="center"/>
    </xf>
    <xf numFmtId="0" fontId="10" fillId="0" borderId="5" xfId="0" applyFont="1" applyBorder="1" applyAlignment="1">
      <alignment horizontal="centerContinuous" vertical="center" wrapText="1"/>
    </xf>
    <xf numFmtId="0" fontId="10" fillId="0" borderId="46" xfId="0" applyFont="1" applyBorder="1" applyAlignment="1">
      <alignment horizontal="center" vertical="center" wrapText="1"/>
    </xf>
    <xf numFmtId="0" fontId="7" fillId="0" borderId="10" xfId="0" applyFont="1" applyBorder="1" applyAlignment="1">
      <alignment vertical="center"/>
    </xf>
    <xf numFmtId="0" fontId="10" fillId="0" borderId="29" xfId="0" applyFont="1" applyBorder="1" applyAlignment="1">
      <alignment vertical="center"/>
    </xf>
    <xf numFmtId="0" fontId="18" fillId="3" borderId="52" xfId="0" applyFont="1" applyFill="1" applyBorder="1" applyAlignment="1">
      <alignment horizontal="center" vertical="center"/>
    </xf>
    <xf numFmtId="0" fontId="0" fillId="0" borderId="5" xfId="0" applyBorder="1"/>
    <xf numFmtId="0" fontId="10" fillId="2" borderId="51" xfId="0" applyFont="1" applyFill="1" applyBorder="1" applyAlignment="1" applyProtection="1">
      <alignment vertical="center" wrapText="1"/>
      <protection locked="0"/>
    </xf>
    <xf numFmtId="182" fontId="10" fillId="3" borderId="7" xfId="0" applyNumberFormat="1" applyFont="1" applyFill="1" applyBorder="1" applyAlignment="1" applyProtection="1">
      <alignment vertical="center"/>
      <protection hidden="1"/>
    </xf>
    <xf numFmtId="0" fontId="7" fillId="0" borderId="0" xfId="9" applyFont="1" applyAlignment="1">
      <alignment vertical="center"/>
    </xf>
    <xf numFmtId="0" fontId="31" fillId="0" borderId="34" xfId="9" applyFont="1" applyBorder="1" applyAlignment="1">
      <alignment horizontal="center" vertical="center"/>
    </xf>
    <xf numFmtId="0" fontId="12" fillId="0" borderId="0" xfId="9" applyFont="1" applyAlignment="1">
      <alignment vertical="center"/>
    </xf>
    <xf numFmtId="0" fontId="27" fillId="0" borderId="0" xfId="9" applyFont="1" applyAlignment="1">
      <alignment horizontal="right" vertical="center"/>
    </xf>
    <xf numFmtId="0" fontId="32" fillId="0" borderId="0" xfId="9" applyFont="1" applyAlignment="1">
      <alignment vertical="center"/>
    </xf>
    <xf numFmtId="0" fontId="7" fillId="0" borderId="0" xfId="0" applyFont="1" applyAlignment="1" applyProtection="1">
      <alignment vertical="center"/>
      <protection hidden="1"/>
    </xf>
    <xf numFmtId="0" fontId="10" fillId="0" borderId="0" xfId="4" applyFont="1" applyAlignment="1" applyProtection="1">
      <alignment vertical="center"/>
      <protection hidden="1"/>
    </xf>
    <xf numFmtId="0" fontId="27" fillId="0" borderId="0" xfId="0" applyFont="1" applyAlignment="1" applyProtection="1">
      <alignment vertical="center"/>
      <protection hidden="1"/>
    </xf>
    <xf numFmtId="38" fontId="7" fillId="2" borderId="1" xfId="2" applyFont="1" applyFill="1" applyBorder="1" applyAlignment="1" applyProtection="1">
      <alignment vertical="center"/>
      <protection locked="0"/>
    </xf>
    <xf numFmtId="49" fontId="7" fillId="0" borderId="8"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3" xfId="0" applyFont="1" applyBorder="1" applyAlignment="1">
      <alignment vertical="center"/>
    </xf>
    <xf numFmtId="49" fontId="7" fillId="0" borderId="6" xfId="0" applyNumberFormat="1" applyFont="1" applyBorder="1" applyAlignment="1">
      <alignment horizontal="center" vertical="center"/>
    </xf>
    <xf numFmtId="0" fontId="7" fillId="0" borderId="4" xfId="0" applyFont="1" applyBorder="1" applyAlignment="1">
      <alignment vertical="center"/>
    </xf>
    <xf numFmtId="0" fontId="28" fillId="0" borderId="18"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38" fontId="3" fillId="3" borderId="5" xfId="2" applyFill="1" applyBorder="1" applyAlignment="1" applyProtection="1">
      <alignment vertical="center"/>
      <protection hidden="1"/>
    </xf>
    <xf numFmtId="0" fontId="25" fillId="0" borderId="0" xfId="0" applyFont="1" applyAlignment="1" applyProtection="1">
      <alignment vertical="center"/>
      <protection hidden="1"/>
    </xf>
    <xf numFmtId="0" fontId="28" fillId="0" borderId="0" xfId="0" applyFont="1" applyAlignment="1" applyProtection="1">
      <alignment vertical="center"/>
      <protection hidden="1"/>
    </xf>
    <xf numFmtId="0" fontId="25" fillId="0" borderId="0" xfId="0" applyFont="1" applyAlignment="1" applyProtection="1">
      <alignment horizontal="left" vertical="center"/>
      <protection hidden="1"/>
    </xf>
    <xf numFmtId="0" fontId="23" fillId="0" borderId="6" xfId="0" applyFont="1" applyBorder="1" applyAlignment="1" applyProtection="1">
      <alignment vertical="center"/>
      <protection hidden="1"/>
    </xf>
    <xf numFmtId="0" fontId="23" fillId="0" borderId="5" xfId="0" applyFont="1" applyBorder="1" applyAlignment="1" applyProtection="1">
      <alignment vertical="center"/>
      <protection hidden="1"/>
    </xf>
    <xf numFmtId="0" fontId="23" fillId="0" borderId="7"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0" xfId="0" applyFont="1" applyAlignment="1" applyProtection="1">
      <alignment horizontal="center" vertical="center"/>
      <protection hidden="1"/>
    </xf>
    <xf numFmtId="0" fontId="23" fillId="0" borderId="0" xfId="0" quotePrefix="1" applyFont="1" applyAlignment="1" applyProtection="1">
      <alignment horizontal="center" vertical="center"/>
      <protection hidden="1"/>
    </xf>
    <xf numFmtId="0" fontId="12" fillId="0" borderId="0" xfId="0" applyFont="1" applyAlignment="1" applyProtection="1">
      <alignment vertical="center"/>
      <protection hidden="1"/>
    </xf>
    <xf numFmtId="0" fontId="12" fillId="0" borderId="8" xfId="0" applyFont="1" applyBorder="1" applyAlignment="1">
      <alignment horizontal="centerContinuous" vertical="center"/>
    </xf>
    <xf numFmtId="0" fontId="28" fillId="0" borderId="2" xfId="0" applyFont="1" applyBorder="1" applyAlignment="1" applyProtection="1">
      <alignment horizontal="centerContinuous" vertical="center"/>
      <protection hidden="1"/>
    </xf>
    <xf numFmtId="0" fontId="28" fillId="0" borderId="1" xfId="0" applyFont="1" applyBorder="1" applyAlignment="1" applyProtection="1">
      <alignment horizontal="centerContinuous" vertical="center"/>
      <protection hidden="1"/>
    </xf>
    <xf numFmtId="181" fontId="22" fillId="0" borderId="7" xfId="10" applyNumberFormat="1" applyFont="1" applyBorder="1" applyAlignment="1">
      <alignment horizontal="center" vertical="center"/>
    </xf>
    <xf numFmtId="0" fontId="12" fillId="0" borderId="0" xfId="10" applyFont="1" applyAlignment="1">
      <alignment vertical="center" wrapText="1"/>
    </xf>
    <xf numFmtId="0" fontId="25" fillId="0" borderId="0" xfId="10" applyFont="1" applyAlignment="1"/>
    <xf numFmtId="0" fontId="25" fillId="0" borderId="0" xfId="10" applyFont="1">
      <alignment vertical="center"/>
    </xf>
    <xf numFmtId="0" fontId="21" fillId="0" borderId="8" xfId="0" applyFont="1" applyBorder="1" applyAlignment="1" applyProtection="1">
      <alignment vertical="center"/>
      <protection hidden="1"/>
    </xf>
    <xf numFmtId="0" fontId="21" fillId="0" borderId="2" xfId="0" applyFont="1" applyBorder="1" applyAlignment="1" applyProtection="1">
      <alignment vertical="center"/>
      <protection hidden="1"/>
    </xf>
    <xf numFmtId="0" fontId="28" fillId="0" borderId="1" xfId="0" applyFont="1" applyBorder="1" applyAlignment="1" applyProtection="1">
      <alignment horizontal="left" vertical="center"/>
      <protection hidden="1"/>
    </xf>
    <xf numFmtId="0" fontId="7" fillId="0" borderId="30" xfId="10" applyBorder="1" applyAlignment="1">
      <alignment horizontal="center" vertical="center"/>
    </xf>
    <xf numFmtId="0" fontId="7" fillId="0" borderId="7" xfId="10" applyBorder="1" applyAlignment="1">
      <alignment horizontal="center" vertical="center"/>
    </xf>
    <xf numFmtId="0" fontId="10" fillId="0" borderId="0" xfId="10" quotePrefix="1" applyFont="1" applyAlignment="1">
      <alignment vertical="center" wrapText="1"/>
    </xf>
    <xf numFmtId="0" fontId="10" fillId="0" borderId="0" xfId="4" applyFont="1" applyAlignment="1" applyProtection="1">
      <alignment vertical="center" wrapText="1"/>
      <protection hidden="1"/>
    </xf>
    <xf numFmtId="0" fontId="28" fillId="0" borderId="0" xfId="10" applyFont="1" applyAlignment="1">
      <alignment horizontal="center" vertical="center"/>
    </xf>
    <xf numFmtId="0" fontId="18" fillId="0" borderId="4" xfId="10" applyFont="1" applyBorder="1" applyAlignment="1">
      <alignment horizontal="left" vertical="center"/>
    </xf>
    <xf numFmtId="0" fontId="7" fillId="0" borderId="0" xfId="10" applyAlignment="1">
      <alignment horizontal="center" vertical="center"/>
    </xf>
    <xf numFmtId="0" fontId="10" fillId="0" borderId="0" xfId="10" applyFont="1" applyAlignment="1" applyProtection="1">
      <alignment vertical="center" wrapText="1"/>
      <protection hidden="1"/>
    </xf>
    <xf numFmtId="0" fontId="18" fillId="0" borderId="0" xfId="10" applyFont="1" applyAlignment="1">
      <alignment horizontal="left" vertical="center"/>
    </xf>
    <xf numFmtId="0" fontId="12" fillId="0" borderId="0" xfId="10" applyFont="1" applyAlignment="1">
      <alignment horizontal="center" vertical="center" wrapText="1"/>
    </xf>
    <xf numFmtId="0" fontId="10" fillId="0" borderId="0" xfId="10" applyFont="1" applyProtection="1">
      <alignment vertical="center"/>
      <protection hidden="1"/>
    </xf>
    <xf numFmtId="0" fontId="7" fillId="0" borderId="7" xfId="0" applyFont="1" applyBorder="1" applyAlignment="1" applyProtection="1">
      <alignment horizontal="center" vertical="center"/>
      <protection hidden="1"/>
    </xf>
    <xf numFmtId="0" fontId="10" fillId="0" borderId="7" xfId="11" applyFont="1" applyBorder="1">
      <alignment vertical="center"/>
    </xf>
    <xf numFmtId="0" fontId="7" fillId="0" borderId="7" xfId="0" applyFont="1" applyBorder="1" applyAlignment="1" applyProtection="1">
      <alignment vertical="center"/>
      <protection hidden="1"/>
    </xf>
    <xf numFmtId="0" fontId="10" fillId="0" borderId="8" xfId="11" applyFont="1" applyBorder="1" applyAlignment="1">
      <alignment vertical="center" wrapText="1"/>
    </xf>
    <xf numFmtId="0" fontId="10" fillId="0" borderId="6" xfId="11" applyFont="1" applyBorder="1" applyAlignment="1">
      <alignment vertical="center" wrapText="1"/>
    </xf>
    <xf numFmtId="49" fontId="10" fillId="0" borderId="2" xfId="0" applyNumberFormat="1" applyFont="1" applyBorder="1" applyAlignment="1" applyProtection="1">
      <alignment vertical="center"/>
      <protection hidden="1"/>
    </xf>
    <xf numFmtId="49" fontId="10" fillId="0" borderId="6" xfId="0" applyNumberFormat="1" applyFont="1" applyBorder="1" applyAlignment="1" applyProtection="1">
      <alignment vertical="center"/>
      <protection hidden="1"/>
    </xf>
    <xf numFmtId="49" fontId="10" fillId="0" borderId="58" xfId="0" applyNumberFormat="1" applyFont="1" applyBorder="1" applyAlignment="1" applyProtection="1">
      <alignment horizontal="center" vertical="center"/>
      <protection hidden="1"/>
    </xf>
    <xf numFmtId="49" fontId="10" fillId="0" borderId="4" xfId="0" applyNumberFormat="1" applyFont="1" applyBorder="1" applyAlignment="1" applyProtection="1">
      <alignment vertical="center"/>
      <protection hidden="1"/>
    </xf>
    <xf numFmtId="0" fontId="10" fillId="0" borderId="29" xfId="0" applyFont="1" applyBorder="1" applyAlignment="1" applyProtection="1">
      <alignment vertical="center"/>
      <protection hidden="1"/>
    </xf>
    <xf numFmtId="0" fontId="10" fillId="0" borderId="31" xfId="0" applyFont="1" applyBorder="1" applyAlignment="1">
      <alignment vertical="center"/>
    </xf>
    <xf numFmtId="0" fontId="10" fillId="0" borderId="39" xfId="0" applyFont="1" applyBorder="1" applyAlignment="1" applyProtection="1">
      <alignment vertical="center"/>
      <protection hidden="1"/>
    </xf>
    <xf numFmtId="0" fontId="10" fillId="0" borderId="22" xfId="0" applyFont="1" applyBorder="1" applyAlignment="1">
      <alignment vertical="center"/>
    </xf>
    <xf numFmtId="0" fontId="10" fillId="0" borderId="59" xfId="0" applyFont="1" applyBorder="1" applyAlignment="1">
      <alignment vertical="center"/>
    </xf>
    <xf numFmtId="0" fontId="10" fillId="0" borderId="30" xfId="0" applyFont="1" applyBorder="1" applyAlignment="1" applyProtection="1">
      <alignment vertical="center"/>
      <protection hidden="1"/>
    </xf>
    <xf numFmtId="0" fontId="10" fillId="0" borderId="21" xfId="0" applyFont="1" applyBorder="1" applyAlignment="1">
      <alignment vertical="center"/>
    </xf>
    <xf numFmtId="0" fontId="10" fillId="0" borderId="58" xfId="0" applyFont="1" applyBorder="1" applyAlignment="1">
      <alignment vertical="center"/>
    </xf>
    <xf numFmtId="49" fontId="10" fillId="0" borderId="20" xfId="0" applyNumberFormat="1" applyFont="1" applyBorder="1" applyAlignment="1" applyProtection="1">
      <alignment vertical="center"/>
      <protection hidden="1"/>
    </xf>
    <xf numFmtId="49" fontId="10" fillId="0" borderId="59" xfId="0" applyNumberFormat="1" applyFont="1" applyBorder="1" applyAlignment="1" applyProtection="1">
      <alignment horizontal="center" vertical="center"/>
      <protection hidden="1"/>
    </xf>
    <xf numFmtId="49" fontId="10" fillId="0" borderId="29" xfId="0" applyNumberFormat="1" applyFont="1" applyBorder="1" applyAlignment="1" applyProtection="1">
      <alignment vertical="center"/>
      <protection hidden="1"/>
    </xf>
    <xf numFmtId="0" fontId="10" fillId="0" borderId="31" xfId="0" applyFont="1" applyBorder="1" applyAlignment="1" applyProtection="1">
      <alignment vertical="center"/>
      <protection hidden="1"/>
    </xf>
    <xf numFmtId="49" fontId="10" fillId="0" borderId="17" xfId="0" applyNumberFormat="1" applyFont="1" applyBorder="1" applyAlignment="1" applyProtection="1">
      <alignment vertical="center"/>
      <protection hidden="1"/>
    </xf>
    <xf numFmtId="0" fontId="10" fillId="0" borderId="17" xfId="0" applyFont="1" applyBorder="1" applyAlignment="1">
      <alignment vertical="center"/>
    </xf>
    <xf numFmtId="0" fontId="10" fillId="0" borderId="24" xfId="0" applyFont="1" applyBorder="1" applyAlignment="1" applyProtection="1">
      <alignment vertical="center"/>
      <protection hidden="1"/>
    </xf>
    <xf numFmtId="49" fontId="10" fillId="0" borderId="8" xfId="0" applyNumberFormat="1" applyFont="1" applyBorder="1" applyAlignment="1" applyProtection="1">
      <alignment vertical="center"/>
      <protection hidden="1"/>
    </xf>
    <xf numFmtId="49" fontId="10" fillId="0" borderId="58" xfId="0" applyNumberFormat="1" applyFont="1" applyBorder="1" applyAlignment="1" applyProtection="1">
      <alignment vertical="center"/>
      <protection hidden="1"/>
    </xf>
    <xf numFmtId="49" fontId="10" fillId="0" borderId="58" xfId="0" applyNumberFormat="1" applyFont="1" applyBorder="1" applyAlignment="1" applyProtection="1">
      <alignment horizontal="right" vertical="center"/>
      <protection hidden="1"/>
    </xf>
    <xf numFmtId="49" fontId="15" fillId="0" borderId="58" xfId="0" applyNumberFormat="1" applyFont="1" applyBorder="1" applyAlignment="1" applyProtection="1">
      <alignment horizontal="center" vertical="center"/>
      <protection hidden="1"/>
    </xf>
    <xf numFmtId="49" fontId="10" fillId="0" borderId="2" xfId="0" applyNumberFormat="1" applyFont="1" applyBorder="1" applyAlignment="1" applyProtection="1">
      <alignment horizontal="left" vertical="center"/>
      <protection hidden="1"/>
    </xf>
    <xf numFmtId="49" fontId="10" fillId="0" borderId="39" xfId="0" applyNumberFormat="1" applyFont="1" applyBorder="1" applyAlignment="1" applyProtection="1">
      <alignment vertical="center"/>
      <protection hidden="1"/>
    </xf>
    <xf numFmtId="0" fontId="10" fillId="0" borderId="22" xfId="0" applyFont="1" applyBorder="1" applyAlignment="1" applyProtection="1">
      <alignment vertical="center"/>
      <protection hidden="1"/>
    </xf>
    <xf numFmtId="49" fontId="10" fillId="0" borderId="30" xfId="0" applyNumberFormat="1" applyFont="1" applyBorder="1" applyAlignment="1" applyProtection="1">
      <alignment vertical="center"/>
      <protection hidden="1"/>
    </xf>
    <xf numFmtId="0" fontId="10" fillId="0" borderId="11" xfId="0" applyFont="1" applyBorder="1" applyAlignment="1">
      <alignment vertical="center"/>
    </xf>
    <xf numFmtId="0" fontId="10" fillId="0" borderId="21" xfId="0" applyFont="1" applyBorder="1" applyAlignment="1" applyProtection="1">
      <alignment vertical="center"/>
      <protection hidden="1"/>
    </xf>
    <xf numFmtId="0" fontId="10" fillId="0" borderId="8" xfId="0" applyFont="1" applyBorder="1" applyAlignment="1">
      <alignment horizontal="center" vertical="center" wrapText="1"/>
    </xf>
    <xf numFmtId="0" fontId="10" fillId="0" borderId="51" xfId="0" applyFont="1" applyBorder="1" applyAlignment="1">
      <alignment horizontal="center" vertical="center" wrapText="1"/>
    </xf>
    <xf numFmtId="49" fontId="10" fillId="0" borderId="59" xfId="0" applyNumberFormat="1" applyFont="1" applyBorder="1" applyAlignment="1" applyProtection="1">
      <alignment vertical="center"/>
      <protection hidden="1"/>
    </xf>
    <xf numFmtId="49" fontId="15" fillId="0" borderId="2" xfId="0" applyNumberFormat="1" applyFont="1" applyBorder="1" applyAlignme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0" fillId="0" borderId="0" xfId="11" applyFont="1" applyAlignment="1">
      <alignment horizontal="left" vertical="center" wrapText="1"/>
    </xf>
    <xf numFmtId="0" fontId="10" fillId="0" borderId="0" xfId="5" applyFont="1" applyAlignment="1" applyProtection="1">
      <alignment horizontal="left" vertical="center" wrapText="1"/>
      <protection hidden="1"/>
    </xf>
    <xf numFmtId="0" fontId="10" fillId="0" borderId="3" xfId="0" applyFont="1" applyBorder="1" applyAlignment="1">
      <alignment horizontal="center" vertical="center" wrapText="1"/>
    </xf>
    <xf numFmtId="178" fontId="10" fillId="0" borderId="8" xfId="0" applyNumberFormat="1" applyFont="1" applyBorder="1" applyAlignment="1">
      <alignment horizontal="center" vertical="center" wrapText="1"/>
    </xf>
    <xf numFmtId="178" fontId="10" fillId="0" borderId="51" xfId="0" applyNumberFormat="1" applyFont="1" applyBorder="1" applyAlignment="1">
      <alignment horizontal="center" vertical="center" wrapText="1"/>
    </xf>
    <xf numFmtId="178" fontId="10" fillId="0" borderId="29" xfId="0" applyNumberFormat="1" applyFont="1" applyBorder="1" applyAlignment="1">
      <alignment horizontal="center" vertical="center" wrapText="1"/>
    </xf>
    <xf numFmtId="178" fontId="10" fillId="0" borderId="60" xfId="0" applyNumberFormat="1" applyFont="1" applyBorder="1" applyAlignment="1">
      <alignment horizontal="center" vertical="center" wrapText="1"/>
    </xf>
    <xf numFmtId="178" fontId="10" fillId="0" borderId="39" xfId="0" applyNumberFormat="1" applyFont="1" applyBorder="1" applyAlignment="1">
      <alignment horizontal="center" vertical="center" wrapText="1"/>
    </xf>
    <xf numFmtId="178" fontId="10" fillId="0" borderId="61" xfId="0" applyNumberFormat="1" applyFont="1" applyBorder="1" applyAlignment="1">
      <alignment horizontal="center" vertical="center" wrapText="1"/>
    </xf>
    <xf numFmtId="178" fontId="10" fillId="0" borderId="30" xfId="0" applyNumberFormat="1" applyFont="1" applyBorder="1" applyAlignment="1">
      <alignment horizontal="center" vertical="center" wrapText="1"/>
    </xf>
    <xf numFmtId="178" fontId="10" fillId="0" borderId="49" xfId="0" applyNumberFormat="1" applyFont="1" applyBorder="1" applyAlignment="1">
      <alignment horizontal="center" vertical="center" wrapText="1"/>
    </xf>
    <xf numFmtId="178" fontId="10" fillId="0" borderId="18" xfId="0" applyNumberFormat="1" applyFont="1" applyBorder="1" applyAlignment="1">
      <alignment horizontal="center" vertical="center" wrapText="1"/>
    </xf>
    <xf numFmtId="0" fontId="33" fillId="0" borderId="8"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10" fillId="0" borderId="0" xfId="11" applyFont="1" applyAlignment="1">
      <alignment horizontal="left" vertical="center"/>
    </xf>
    <xf numFmtId="0" fontId="10" fillId="0" borderId="0" xfId="11" applyFont="1">
      <alignment vertical="center"/>
    </xf>
    <xf numFmtId="0" fontId="10" fillId="0" borderId="0" xfId="5" applyFont="1" applyAlignment="1" applyProtection="1">
      <alignment horizontal="left" vertical="center"/>
      <protection hidden="1"/>
    </xf>
    <xf numFmtId="0" fontId="10" fillId="0" borderId="7" xfId="11" applyFont="1" applyBorder="1" applyAlignment="1">
      <alignment horizontal="center" vertical="center"/>
    </xf>
    <xf numFmtId="0" fontId="10" fillId="0" borderId="7" xfId="11" applyFont="1" applyBorder="1" applyAlignment="1">
      <alignment horizontal="center" vertical="center" wrapText="1"/>
    </xf>
    <xf numFmtId="178" fontId="7" fillId="0" borderId="7" xfId="0" applyNumberFormat="1" applyFont="1" applyBorder="1" applyAlignment="1" applyProtection="1">
      <alignment horizontal="right" vertical="center"/>
      <protection hidden="1"/>
    </xf>
    <xf numFmtId="0" fontId="10" fillId="2" borderId="24" xfId="10" applyFont="1" applyFill="1" applyBorder="1" applyAlignment="1" applyProtection="1">
      <alignment horizontal="left" vertical="center" wrapText="1"/>
      <protection locked="0"/>
    </xf>
    <xf numFmtId="0" fontId="10" fillId="2" borderId="51" xfId="10" applyFont="1" applyFill="1" applyBorder="1" applyAlignment="1" applyProtection="1">
      <alignment horizontal="left" vertical="center" wrapText="1"/>
      <protection locked="0"/>
    </xf>
    <xf numFmtId="0" fontId="7" fillId="3" borderId="7" xfId="0" applyFont="1" applyFill="1" applyBorder="1" applyAlignment="1" applyProtection="1">
      <alignment horizontal="center" vertical="center"/>
      <protection hidden="1"/>
    </xf>
    <xf numFmtId="0" fontId="29" fillId="0" borderId="0" xfId="10" applyFont="1" applyAlignment="1">
      <alignment horizontal="left" vertical="center"/>
    </xf>
    <xf numFmtId="0" fontId="34" fillId="0" borderId="0" xfId="0" applyFont="1" applyAlignment="1" applyProtection="1">
      <alignment horizontal="lef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21" fillId="0" borderId="7" xfId="10" applyFont="1" applyBorder="1" applyAlignment="1" applyProtection="1">
      <alignment horizontal="center" vertical="center"/>
      <protection hidden="1"/>
    </xf>
    <xf numFmtId="0" fontId="23" fillId="0" borderId="4" xfId="0" applyFont="1" applyBorder="1" applyAlignment="1" applyProtection="1">
      <alignment horizontal="left" vertical="center"/>
      <protection hidden="1"/>
    </xf>
    <xf numFmtId="0" fontId="30" fillId="0" borderId="0" xfId="0" applyFont="1" applyAlignment="1" applyProtection="1">
      <alignment vertical="center"/>
      <protection hidden="1"/>
    </xf>
    <xf numFmtId="38" fontId="7" fillId="0" borderId="34" xfId="2" applyFont="1" applyBorder="1" applyAlignment="1" applyProtection="1">
      <alignment vertical="center"/>
      <protection hidden="1"/>
    </xf>
    <xf numFmtId="0" fontId="7" fillId="0" borderId="62" xfId="10" applyBorder="1" applyAlignment="1" applyProtection="1">
      <alignment horizontal="center" vertical="center"/>
      <protection hidden="1"/>
    </xf>
    <xf numFmtId="38" fontId="7" fillId="0" borderId="62" xfId="2" applyFont="1" applyBorder="1" applyAlignment="1" applyProtection="1">
      <alignment vertical="center"/>
      <protection hidden="1"/>
    </xf>
    <xf numFmtId="38" fontId="7" fillId="0" borderId="40" xfId="2" applyFont="1" applyBorder="1" applyAlignment="1" applyProtection="1">
      <alignment vertical="center"/>
      <protection hidden="1"/>
    </xf>
    <xf numFmtId="184" fontId="7" fillId="0" borderId="51" xfId="1" applyNumberFormat="1" applyFont="1" applyBorder="1" applyAlignment="1" applyProtection="1">
      <alignment vertical="center"/>
      <protection hidden="1"/>
    </xf>
    <xf numFmtId="184" fontId="7" fillId="0" borderId="62" xfId="1" applyNumberFormat="1" applyFont="1" applyBorder="1" applyAlignment="1" applyProtection="1">
      <alignment vertical="center"/>
      <protection hidden="1"/>
    </xf>
    <xf numFmtId="38" fontId="7" fillId="0" borderId="63" xfId="2" applyFont="1" applyBorder="1" applyAlignment="1" applyProtection="1">
      <alignment vertical="center"/>
      <protection hidden="1"/>
    </xf>
    <xf numFmtId="0" fontId="7" fillId="0" borderId="0" xfId="10">
      <alignment vertical="center"/>
    </xf>
    <xf numFmtId="0" fontId="7" fillId="0" borderId="0" xfId="8" applyFont="1" applyAlignment="1">
      <alignment vertical="center"/>
    </xf>
    <xf numFmtId="0" fontId="7" fillId="2" borderId="38" xfId="8" applyFont="1" applyFill="1" applyBorder="1" applyAlignment="1" applyProtection="1">
      <alignment horizontal="center" vertical="center"/>
      <protection locked="0"/>
    </xf>
    <xf numFmtId="0" fontId="21" fillId="0" borderId="64" xfId="8" applyFont="1" applyBorder="1" applyAlignment="1">
      <alignment vertical="center" wrapText="1"/>
    </xf>
    <xf numFmtId="0" fontId="7" fillId="0" borderId="31" xfId="8" applyFont="1" applyBorder="1" applyAlignment="1">
      <alignment horizontal="right" vertical="center"/>
    </xf>
    <xf numFmtId="0" fontId="7" fillId="0" borderId="0" xfId="8" applyFont="1" applyAlignment="1">
      <alignment horizontal="right" vertical="center"/>
    </xf>
    <xf numFmtId="178" fontId="10" fillId="0" borderId="65" xfId="0" applyNumberFormat="1" applyFont="1" applyBorder="1" applyAlignment="1">
      <alignment horizontal="center" vertical="center" wrapText="1"/>
    </xf>
    <xf numFmtId="178" fontId="10" fillId="0" borderId="4" xfId="11" applyNumberFormat="1" applyFont="1" applyBorder="1" applyAlignment="1">
      <alignment horizontal="right" vertical="center"/>
    </xf>
    <xf numFmtId="178" fontId="7" fillId="0" borderId="4" xfId="0" applyNumberFormat="1" applyFont="1" applyBorder="1" applyAlignment="1" applyProtection="1">
      <alignment horizontal="right" vertical="center"/>
      <protection hidden="1"/>
    </xf>
    <xf numFmtId="0" fontId="21" fillId="0" borderId="4" xfId="11" applyFont="1" applyBorder="1" applyAlignment="1" applyProtection="1">
      <alignment horizontal="center" vertical="center"/>
      <protection hidden="1"/>
    </xf>
    <xf numFmtId="178" fontId="10" fillId="0" borderId="0" xfId="11" applyNumberFormat="1" applyFont="1" applyAlignment="1">
      <alignment horizontal="right" vertical="center"/>
    </xf>
    <xf numFmtId="178" fontId="7" fillId="0" borderId="0" xfId="0" applyNumberFormat="1" applyFont="1" applyAlignment="1" applyProtection="1">
      <alignment horizontal="right" vertical="center"/>
      <protection hidden="1"/>
    </xf>
    <xf numFmtId="0" fontId="21" fillId="0" borderId="0" xfId="11" applyFont="1" applyAlignment="1" applyProtection="1">
      <alignment horizontal="center" vertical="center"/>
      <protection hidden="1"/>
    </xf>
    <xf numFmtId="0" fontId="10" fillId="2" borderId="1" xfId="10" applyFont="1" applyFill="1" applyBorder="1" applyAlignment="1" applyProtection="1">
      <alignment horizontal="left" vertical="center" wrapText="1"/>
      <protection locked="0"/>
    </xf>
    <xf numFmtId="0" fontId="23" fillId="0" borderId="3"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0" xfId="0" applyFont="1" applyBorder="1" applyProtection="1">
      <protection hidden="1"/>
    </xf>
    <xf numFmtId="0" fontId="10" fillId="0" borderId="17" xfId="0" applyFont="1" applyBorder="1" applyAlignment="1" applyProtection="1">
      <alignment vertical="center"/>
      <protection hidden="1"/>
    </xf>
    <xf numFmtId="0" fontId="8" fillId="0" borderId="6"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center" vertical="center"/>
    </xf>
    <xf numFmtId="0" fontId="8" fillId="0" borderId="5" xfId="0" applyFont="1" applyBorder="1" applyAlignment="1">
      <alignment vertical="center"/>
    </xf>
    <xf numFmtId="0" fontId="8" fillId="0" borderId="3" xfId="0" applyFont="1" applyBorder="1" applyAlignment="1">
      <alignment vertical="center"/>
    </xf>
    <xf numFmtId="0" fontId="8" fillId="0" borderId="0" xfId="0" applyFont="1" applyAlignment="1">
      <alignment horizontal="center" vertical="center"/>
    </xf>
    <xf numFmtId="0" fontId="8" fillId="0" borderId="20" xfId="0" applyFont="1" applyBorder="1" applyAlignment="1">
      <alignment vertical="center"/>
    </xf>
    <xf numFmtId="0" fontId="8" fillId="0" borderId="20" xfId="0" applyFont="1" applyBorder="1" applyAlignment="1">
      <alignment horizontal="center" vertical="center"/>
    </xf>
    <xf numFmtId="0" fontId="8" fillId="0" borderId="0" xfId="0" applyFont="1" applyProtection="1">
      <protection hidden="1"/>
    </xf>
    <xf numFmtId="0" fontId="8" fillId="0" borderId="20" xfId="0" applyFont="1" applyBorder="1" applyProtection="1">
      <protection hidden="1"/>
    </xf>
    <xf numFmtId="0" fontId="8" fillId="0" borderId="18" xfId="0" applyFont="1" applyBorder="1" applyAlignment="1">
      <alignment vertical="center"/>
    </xf>
    <xf numFmtId="0" fontId="8" fillId="0" borderId="17" xfId="0" applyFont="1" applyBorder="1" applyAlignment="1" applyProtection="1">
      <alignment horizontal="center" vertical="center"/>
      <protection hidden="1"/>
    </xf>
    <xf numFmtId="0" fontId="8" fillId="0" borderId="24" xfId="0" applyFont="1"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6" xfId="0" applyFont="1" applyBorder="1" applyAlignment="1" applyProtection="1">
      <alignment horizontal="left" vertical="center"/>
      <protection hidden="1"/>
    </xf>
    <xf numFmtId="0" fontId="8" fillId="0" borderId="4" xfId="0" applyFont="1" applyBorder="1" applyAlignment="1" applyProtection="1">
      <alignment horizontal="left" vertical="center"/>
      <protection hidden="1"/>
    </xf>
    <xf numFmtId="0" fontId="16" fillId="0" borderId="4" xfId="0" applyFont="1" applyBorder="1" applyAlignment="1" applyProtection="1">
      <alignment horizontal="left" vertical="center"/>
      <protection hidden="1"/>
    </xf>
    <xf numFmtId="0" fontId="8" fillId="0" borderId="5" xfId="0" applyFont="1" applyBorder="1" applyAlignment="1" applyProtection="1">
      <alignment horizontal="left" vertical="center"/>
      <protection hidden="1"/>
    </xf>
    <xf numFmtId="0" fontId="8" fillId="0" borderId="3" xfId="0" applyFont="1" applyBorder="1" applyAlignment="1" applyProtection="1">
      <alignment horizontal="left"/>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left"/>
      <protection hidden="1"/>
    </xf>
    <xf numFmtId="0" fontId="8" fillId="0" borderId="0" xfId="0" applyFont="1" applyAlignment="1">
      <alignment horizontal="left"/>
    </xf>
    <xf numFmtId="0" fontId="16" fillId="0" borderId="0" xfId="0" applyFont="1" applyAlignment="1" applyProtection="1">
      <alignment horizontal="left" vertical="center"/>
      <protection hidden="1"/>
    </xf>
    <xf numFmtId="0" fontId="8" fillId="0" borderId="20" xfId="0" applyFont="1" applyBorder="1" applyAlignment="1" applyProtection="1">
      <alignment horizontal="left" vertical="center"/>
      <protection hidden="1"/>
    </xf>
    <xf numFmtId="0" fontId="8" fillId="0" borderId="3" xfId="0"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0" xfId="0" applyFont="1" applyAlignment="1">
      <alignment horizontal="left" vertical="center"/>
    </xf>
    <xf numFmtId="0" fontId="16" fillId="0" borderId="0" xfId="0" applyFont="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16" fillId="0" borderId="17" xfId="0" applyFont="1" applyBorder="1" applyAlignment="1">
      <alignment horizontal="left" vertical="center"/>
    </xf>
    <xf numFmtId="0" fontId="8" fillId="0" borderId="24" xfId="0" applyFont="1" applyBorder="1" applyAlignment="1">
      <alignment horizontal="left" vertical="center"/>
    </xf>
    <xf numFmtId="0" fontId="8" fillId="0" borderId="6" xfId="8" applyFont="1" applyBorder="1" applyAlignment="1">
      <alignment vertical="center"/>
    </xf>
    <xf numFmtId="0" fontId="8" fillId="0" borderId="4" xfId="8" applyFont="1" applyBorder="1" applyAlignment="1">
      <alignment vertical="center"/>
    </xf>
    <xf numFmtId="0" fontId="16" fillId="0" borderId="5" xfId="0" applyFont="1" applyBorder="1" applyAlignment="1" applyProtection="1">
      <alignment horizontal="center" vertical="center"/>
      <protection hidden="1"/>
    </xf>
    <xf numFmtId="0" fontId="8" fillId="0" borderId="3" xfId="8" applyFont="1" applyBorder="1" applyAlignment="1">
      <alignment vertical="center"/>
    </xf>
    <xf numFmtId="0" fontId="16" fillId="0" borderId="0" xfId="0" applyFont="1" applyAlignment="1" applyProtection="1">
      <alignment horizontal="centerContinuous" vertical="center"/>
      <protection hidden="1"/>
    </xf>
    <xf numFmtId="0" fontId="8" fillId="0" borderId="0" xfId="8" applyFont="1" applyAlignment="1" applyProtection="1">
      <alignment horizontal="centerContinuous" vertical="center"/>
      <protection hidden="1"/>
    </xf>
    <xf numFmtId="0" fontId="8" fillId="0" borderId="20" xfId="8" applyFont="1" applyBorder="1" applyAlignment="1" applyProtection="1">
      <alignment horizontal="centerContinuous" vertical="center"/>
      <protection hidden="1"/>
    </xf>
    <xf numFmtId="0" fontId="8" fillId="0" borderId="0" xfId="8" applyFont="1" applyAlignment="1" applyProtection="1">
      <alignment vertical="center"/>
      <protection hidden="1"/>
    </xf>
    <xf numFmtId="0" fontId="8" fillId="0" borderId="20" xfId="8" applyFont="1" applyBorder="1" applyAlignment="1" applyProtection="1">
      <alignment horizontal="right" vertical="center"/>
      <protection hidden="1"/>
    </xf>
    <xf numFmtId="0" fontId="8" fillId="0" borderId="18" xfId="8" applyFont="1" applyBorder="1" applyAlignment="1">
      <alignment vertical="center"/>
    </xf>
    <xf numFmtId="0" fontId="8" fillId="0" borderId="17" xfId="8" applyFont="1" applyBorder="1" applyAlignment="1">
      <alignment vertical="center"/>
    </xf>
    <xf numFmtId="0" fontId="16" fillId="0" borderId="17" xfId="8" applyFont="1" applyBorder="1" applyAlignment="1">
      <alignment horizontal="center" vertical="center"/>
    </xf>
    <xf numFmtId="0" fontId="8" fillId="0" borderId="24" xfId="8" applyFont="1" applyBorder="1" applyAlignment="1">
      <alignment horizontal="right" vertical="center"/>
    </xf>
    <xf numFmtId="0" fontId="10" fillId="3" borderId="0" xfId="10" applyFont="1" applyFill="1">
      <alignment vertical="center"/>
    </xf>
    <xf numFmtId="0" fontId="10" fillId="3" borderId="0" xfId="10" applyFont="1" applyFill="1" applyAlignment="1">
      <alignment vertical="center" wrapText="1"/>
    </xf>
    <xf numFmtId="0" fontId="21" fillId="0" borderId="66" xfId="10" applyFont="1" applyBorder="1" applyAlignment="1" applyProtection="1">
      <alignment horizontal="center" vertical="center"/>
      <protection hidden="1"/>
    </xf>
    <xf numFmtId="0" fontId="7" fillId="0" borderId="24" xfId="8" applyFont="1" applyBorder="1" applyAlignment="1">
      <alignment horizontal="right" vertical="center"/>
    </xf>
    <xf numFmtId="0" fontId="10" fillId="2" borderId="10" xfId="8" applyFont="1" applyFill="1" applyBorder="1" applyAlignment="1" applyProtection="1">
      <alignment vertical="center"/>
      <protection locked="0"/>
    </xf>
    <xf numFmtId="0" fontId="21" fillId="0" borderId="0" xfId="8" applyFont="1" applyAlignment="1">
      <alignment vertical="center"/>
    </xf>
    <xf numFmtId="0" fontId="37" fillId="0" borderId="35" xfId="0" applyFont="1" applyBorder="1" applyAlignment="1" applyProtection="1">
      <alignment horizontal="center" vertical="center"/>
      <protection hidden="1"/>
    </xf>
    <xf numFmtId="0" fontId="37" fillId="0" borderId="55" xfId="0" applyFont="1" applyBorder="1" applyAlignment="1" applyProtection="1">
      <alignment horizontal="center" vertical="center"/>
      <protection hidden="1"/>
    </xf>
    <xf numFmtId="0" fontId="37" fillId="0" borderId="36" xfId="0" applyFont="1" applyBorder="1" applyAlignment="1" applyProtection="1">
      <alignment horizontal="center" vertical="center"/>
      <protection hidden="1"/>
    </xf>
    <xf numFmtId="0" fontId="7" fillId="0" borderId="6" xfId="0" applyFont="1" applyBorder="1" applyAlignment="1">
      <alignment vertical="center"/>
    </xf>
    <xf numFmtId="0" fontId="7" fillId="0" borderId="15" xfId="0" applyFont="1" applyBorder="1" applyAlignment="1">
      <alignment vertical="center"/>
    </xf>
    <xf numFmtId="0" fontId="7" fillId="0" borderId="31" xfId="0" applyFont="1" applyBorder="1" applyAlignment="1">
      <alignment horizontal="center" vertical="center"/>
    </xf>
    <xf numFmtId="0" fontId="9" fillId="0" borderId="0" xfId="0" applyFont="1" applyAlignment="1">
      <alignment vertical="center"/>
    </xf>
    <xf numFmtId="0" fontId="9" fillId="0" borderId="13" xfId="0" applyFont="1" applyBorder="1" applyAlignment="1">
      <alignment vertical="center"/>
    </xf>
    <xf numFmtId="0" fontId="9" fillId="0" borderId="17" xfId="0" applyFont="1" applyBorder="1" applyAlignment="1">
      <alignment vertical="center"/>
    </xf>
    <xf numFmtId="0" fontId="9" fillId="0" borderId="24" xfId="0" applyFont="1" applyBorder="1" applyAlignment="1">
      <alignment horizontal="center" vertical="center"/>
    </xf>
    <xf numFmtId="0" fontId="9" fillId="0" borderId="6" xfId="0" applyFont="1" applyBorder="1" applyAlignment="1">
      <alignment vertical="center"/>
    </xf>
    <xf numFmtId="0" fontId="9" fillId="0" borderId="15" xfId="0" applyFont="1" applyBorder="1" applyAlignment="1">
      <alignment vertical="center"/>
    </xf>
    <xf numFmtId="0" fontId="9" fillId="0" borderId="31" xfId="0" applyFont="1" applyBorder="1" applyAlignment="1">
      <alignment horizontal="center" vertical="center"/>
    </xf>
    <xf numFmtId="0" fontId="28" fillId="0" borderId="17" xfId="0" applyFont="1" applyBorder="1" applyAlignment="1">
      <alignment vertical="center"/>
    </xf>
    <xf numFmtId="0" fontId="28" fillId="0" borderId="24" xfId="0" applyFont="1" applyBorder="1" applyAlignment="1">
      <alignment horizontal="center" vertical="center"/>
    </xf>
    <xf numFmtId="0" fontId="28" fillId="0" borderId="8" xfId="0" applyFont="1" applyBorder="1" applyAlignment="1">
      <alignment vertical="center"/>
    </xf>
    <xf numFmtId="0" fontId="28" fillId="0" borderId="2" xfId="0" applyFont="1" applyBorder="1" applyAlignment="1">
      <alignment vertical="center"/>
    </xf>
    <xf numFmtId="0" fontId="28" fillId="0" borderId="1" xfId="0" applyFont="1" applyBorder="1" applyAlignment="1">
      <alignment horizontal="center" vertical="center"/>
    </xf>
    <xf numFmtId="0" fontId="28" fillId="0" borderId="6" xfId="0" applyFont="1" applyBorder="1" applyAlignment="1">
      <alignment vertical="center"/>
    </xf>
    <xf numFmtId="0" fontId="28" fillId="0" borderId="4" xfId="0" applyFont="1" applyBorder="1" applyAlignment="1">
      <alignment vertical="center"/>
    </xf>
    <xf numFmtId="0" fontId="28" fillId="0" borderId="5" xfId="0" applyFont="1" applyBorder="1" applyAlignment="1">
      <alignment horizontal="center" vertical="center"/>
    </xf>
    <xf numFmtId="0" fontId="10" fillId="0" borderId="5" xfId="0" applyFont="1" applyBorder="1" applyAlignment="1" applyProtection="1">
      <alignment horizontal="right" vertical="center"/>
      <protection hidden="1"/>
    </xf>
    <xf numFmtId="0" fontId="28" fillId="0" borderId="20" xfId="0" applyFont="1" applyBorder="1" applyAlignment="1">
      <alignment horizontal="center" vertical="center"/>
    </xf>
    <xf numFmtId="0" fontId="10" fillId="0" borderId="20" xfId="0" applyFont="1" applyBorder="1" applyAlignment="1" applyProtection="1">
      <alignment horizontal="right" vertical="center"/>
      <protection hidden="1"/>
    </xf>
    <xf numFmtId="0" fontId="28" fillId="0" borderId="0" xfId="0" applyFont="1" applyAlignment="1">
      <alignment horizontal="center" vertical="center"/>
    </xf>
    <xf numFmtId="0" fontId="10" fillId="2" borderId="20" xfId="0" applyFont="1" applyFill="1" applyBorder="1" applyAlignment="1" applyProtection="1">
      <alignment horizontal="left" vertical="center"/>
      <protection locked="0"/>
    </xf>
    <xf numFmtId="0" fontId="0" fillId="4" borderId="0" xfId="0" applyFill="1" applyAlignment="1">
      <alignment vertical="center"/>
    </xf>
    <xf numFmtId="0" fontId="3" fillId="4" borderId="0" xfId="0" applyFont="1" applyFill="1"/>
    <xf numFmtId="0" fontId="7" fillId="4" borderId="0" xfId="0" applyFont="1" applyFill="1" applyAlignment="1">
      <alignment vertical="center"/>
    </xf>
    <xf numFmtId="0" fontId="10" fillId="4" borderId="0" xfId="0" applyFont="1" applyFill="1" applyAlignment="1">
      <alignment vertical="center"/>
    </xf>
    <xf numFmtId="0" fontId="10" fillId="4" borderId="0" xfId="10" applyFont="1" applyFill="1">
      <alignment vertical="center"/>
    </xf>
    <xf numFmtId="38" fontId="10" fillId="3" borderId="1" xfId="2" applyFont="1" applyFill="1" applyBorder="1" applyAlignment="1">
      <alignment horizontal="right" vertical="center"/>
    </xf>
    <xf numFmtId="38" fontId="10" fillId="2" borderId="31" xfId="2" applyFont="1" applyFill="1" applyBorder="1" applyAlignment="1" applyProtection="1">
      <alignment horizontal="right" vertical="center"/>
      <protection locked="0"/>
    </xf>
    <xf numFmtId="38" fontId="10" fillId="2" borderId="20" xfId="2" applyFont="1" applyFill="1" applyBorder="1" applyAlignment="1" applyProtection="1">
      <alignment horizontal="right" vertical="center"/>
      <protection locked="0"/>
    </xf>
    <xf numFmtId="0" fontId="10" fillId="2" borderId="5" xfId="0" applyFont="1" applyFill="1" applyBorder="1" applyAlignment="1" applyProtection="1">
      <alignment horizontal="right" vertical="center"/>
      <protection locked="0"/>
    </xf>
    <xf numFmtId="177" fontId="10" fillId="3" borderId="1" xfId="1" applyNumberFormat="1" applyFont="1" applyFill="1" applyBorder="1" applyAlignment="1">
      <alignment horizontal="right" vertical="center" wrapText="1"/>
    </xf>
    <xf numFmtId="0" fontId="10" fillId="2" borderId="22" xfId="0" applyFont="1" applyFill="1" applyBorder="1" applyAlignment="1" applyProtection="1">
      <alignment horizontal="right" vertical="center"/>
      <protection locked="0"/>
    </xf>
    <xf numFmtId="0" fontId="10" fillId="2" borderId="20" xfId="0" applyFont="1" applyFill="1" applyBorder="1" applyAlignment="1" applyProtection="1">
      <alignment horizontal="right" vertical="center"/>
      <protection locked="0"/>
    </xf>
    <xf numFmtId="38" fontId="10" fillId="2" borderId="5" xfId="2" applyFont="1" applyFill="1" applyBorder="1" applyAlignment="1" applyProtection="1">
      <alignment horizontal="right" vertical="center"/>
      <protection locked="0"/>
    </xf>
    <xf numFmtId="0" fontId="3" fillId="0" borderId="17" xfId="0" applyFont="1" applyBorder="1" applyAlignment="1">
      <alignment horizontal="left" vertical="center"/>
    </xf>
    <xf numFmtId="0" fontId="3" fillId="0" borderId="24" xfId="0" applyFont="1" applyBorder="1" applyAlignment="1" applyProtection="1">
      <alignment horizontal="center" vertical="center"/>
      <protection hidden="1"/>
    </xf>
    <xf numFmtId="38" fontId="10" fillId="2" borderId="24" xfId="2" applyFont="1" applyFill="1" applyBorder="1" applyAlignment="1" applyProtection="1">
      <alignment horizontal="right" vertical="center"/>
      <protection locked="0"/>
    </xf>
    <xf numFmtId="0" fontId="7" fillId="0" borderId="15" xfId="0" applyFont="1" applyBorder="1" applyAlignment="1">
      <alignment horizontal="left" vertical="center"/>
    </xf>
    <xf numFmtId="0" fontId="3" fillId="0" borderId="13" xfId="0" applyFont="1" applyBorder="1" applyAlignment="1">
      <alignment vertical="center"/>
    </xf>
    <xf numFmtId="0" fontId="28" fillId="0" borderId="14" xfId="0" applyFont="1" applyBorder="1" applyAlignment="1">
      <alignment vertical="center"/>
    </xf>
    <xf numFmtId="0" fontId="16" fillId="0" borderId="14" xfId="0" applyFont="1" applyBorder="1" applyAlignment="1" applyProtection="1">
      <alignment horizontal="center" vertical="center"/>
      <protection hidden="1"/>
    </xf>
    <xf numFmtId="38" fontId="10" fillId="3" borderId="1" xfId="2" applyFont="1" applyFill="1" applyBorder="1" applyAlignment="1">
      <alignment horizontal="right" vertical="center" wrapText="1"/>
    </xf>
    <xf numFmtId="0" fontId="12" fillId="0" borderId="0" xfId="0" applyFont="1" applyAlignment="1">
      <alignment horizontal="centerContinuous" vertical="center" wrapText="1"/>
    </xf>
    <xf numFmtId="0" fontId="10" fillId="0" borderId="0" xfId="10" applyFont="1" applyAlignment="1">
      <alignment horizontal="center" vertical="center" wrapText="1"/>
    </xf>
    <xf numFmtId="0" fontId="10" fillId="0" borderId="0" xfId="10" applyFont="1" applyAlignment="1">
      <alignment horizontal="left" vertical="center" wrapText="1"/>
    </xf>
    <xf numFmtId="0" fontId="10" fillId="2" borderId="67" xfId="8" applyFont="1" applyFill="1" applyBorder="1" applyAlignment="1" applyProtection="1">
      <alignment vertical="center"/>
      <protection locked="0"/>
    </xf>
    <xf numFmtId="0" fontId="27" fillId="0" borderId="0" xfId="0" applyFont="1" applyAlignment="1">
      <alignment horizontal="left" vertical="center"/>
    </xf>
    <xf numFmtId="0" fontId="10" fillId="0" borderId="18" xfId="0" applyFont="1" applyBorder="1" applyAlignment="1" applyProtection="1">
      <alignment vertical="center"/>
      <protection hidden="1"/>
    </xf>
    <xf numFmtId="0" fontId="16" fillId="0" borderId="18" xfId="0" applyFont="1" applyBorder="1" applyAlignment="1" applyProtection="1">
      <alignment horizontal="center" vertical="center"/>
      <protection hidden="1"/>
    </xf>
    <xf numFmtId="0" fontId="7" fillId="0" borderId="18" xfId="0" applyFont="1" applyBorder="1" applyAlignment="1">
      <alignment vertical="center"/>
    </xf>
    <xf numFmtId="0" fontId="17" fillId="0" borderId="31" xfId="8" applyFont="1" applyBorder="1" applyAlignment="1">
      <alignment horizontal="right" vertical="center"/>
    </xf>
    <xf numFmtId="0" fontId="17" fillId="0" borderId="22" xfId="8" applyFont="1" applyBorder="1" applyAlignment="1">
      <alignment horizontal="right" vertical="center"/>
    </xf>
    <xf numFmtId="0" fontId="17" fillId="0" borderId="24" xfId="8" applyFont="1" applyBorder="1" applyAlignment="1">
      <alignment horizontal="right" vertical="center"/>
    </xf>
    <xf numFmtId="49" fontId="10" fillId="0" borderId="8" xfId="10" applyNumberFormat="1" applyFont="1" applyBorder="1" applyAlignment="1">
      <alignment horizontal="left" vertical="center" wrapText="1"/>
    </xf>
    <xf numFmtId="0" fontId="30" fillId="0" borderId="0" xfId="0" applyFont="1" applyAlignment="1">
      <alignment vertical="center"/>
    </xf>
    <xf numFmtId="0" fontId="10" fillId="5" borderId="0" xfId="10" applyFont="1" applyFill="1">
      <alignment vertical="center"/>
    </xf>
    <xf numFmtId="0" fontId="10" fillId="5" borderId="0" xfId="4" applyFont="1" applyFill="1" applyAlignment="1" applyProtection="1">
      <alignment vertical="center"/>
      <protection hidden="1"/>
    </xf>
    <xf numFmtId="0" fontId="27" fillId="4" borderId="0" xfId="10" applyFont="1" applyFill="1">
      <alignment vertical="center"/>
    </xf>
    <xf numFmtId="0" fontId="20" fillId="0" borderId="0" xfId="8" applyFont="1" applyAlignment="1">
      <alignment vertical="center"/>
    </xf>
    <xf numFmtId="49" fontId="8" fillId="0" borderId="6" xfId="0" applyNumberFormat="1" applyFont="1" applyBorder="1" applyAlignment="1">
      <alignment horizontal="center" vertical="center"/>
    </xf>
    <xf numFmtId="49" fontId="8" fillId="0" borderId="58" xfId="0" applyNumberFormat="1" applyFont="1" applyBorder="1" applyAlignment="1">
      <alignment horizontal="center" vertical="center"/>
    </xf>
    <xf numFmtId="38" fontId="7" fillId="2" borderId="31" xfId="2" applyFont="1" applyFill="1" applyBorder="1" applyAlignment="1" applyProtection="1">
      <alignment vertical="center"/>
      <protection locked="0"/>
    </xf>
    <xf numFmtId="49" fontId="15" fillId="0" borderId="4" xfId="0" applyNumberFormat="1" applyFont="1" applyBorder="1" applyAlignment="1">
      <alignment horizontal="left" vertical="center" wrapText="1"/>
    </xf>
    <xf numFmtId="49" fontId="10" fillId="2" borderId="31" xfId="0" applyNumberFormat="1" applyFont="1" applyFill="1" applyBorder="1" applyAlignment="1" applyProtection="1">
      <alignment horizontal="left" vertical="center" wrapText="1"/>
      <protection locked="0"/>
    </xf>
    <xf numFmtId="0" fontId="17" fillId="0" borderId="34" xfId="0" applyFont="1" applyBorder="1" applyAlignment="1" applyProtection="1">
      <alignment horizontal="center" vertical="center"/>
      <protection hidden="1"/>
    </xf>
    <xf numFmtId="0" fontId="0" fillId="2" borderId="7" xfId="0" applyFill="1" applyBorder="1" applyAlignment="1" applyProtection="1">
      <alignment horizontal="center" vertical="center"/>
      <protection locked="0"/>
    </xf>
    <xf numFmtId="0" fontId="7" fillId="0" borderId="6" xfId="0" applyFont="1" applyBorder="1" applyAlignment="1" applyProtection="1">
      <alignment vertical="center"/>
      <protection hidden="1"/>
    </xf>
    <xf numFmtId="0" fontId="7" fillId="0" borderId="3" xfId="0" applyFont="1" applyBorder="1" applyAlignment="1" applyProtection="1">
      <alignment vertical="center"/>
      <protection hidden="1"/>
    </xf>
    <xf numFmtId="0" fontId="17" fillId="0" borderId="20" xfId="0" applyFont="1" applyBorder="1" applyAlignment="1" applyProtection="1">
      <alignment vertical="center"/>
      <protection hidden="1"/>
    </xf>
    <xf numFmtId="0" fontId="10" fillId="0" borderId="7" xfId="10" applyFont="1" applyBorder="1" applyAlignment="1">
      <alignment horizontal="left" vertical="center"/>
    </xf>
    <xf numFmtId="0" fontId="17" fillId="0" borderId="0" xfId="0" applyFont="1" applyAlignment="1">
      <alignment vertical="center"/>
    </xf>
    <xf numFmtId="0" fontId="15" fillId="0" borderId="0" xfId="0" applyFont="1" applyAlignment="1" applyProtection="1">
      <alignment vertical="center"/>
      <protection hidden="1"/>
    </xf>
    <xf numFmtId="0" fontId="7" fillId="0" borderId="2" xfId="0" applyFont="1" applyBorder="1" applyAlignment="1">
      <alignment vertical="center" wrapText="1"/>
    </xf>
    <xf numFmtId="49" fontId="9" fillId="0" borderId="29" xfId="0" applyNumberFormat="1" applyFont="1" applyBorder="1" applyAlignment="1">
      <alignment horizontal="center" vertical="center"/>
    </xf>
    <xf numFmtId="0" fontId="20" fillId="0" borderId="3" xfId="8" applyFont="1" applyBorder="1" applyAlignment="1">
      <alignment vertical="center" wrapText="1"/>
    </xf>
    <xf numFmtId="0" fontId="10" fillId="0" borderId="6" xfId="8" applyFont="1" applyBorder="1" applyAlignment="1" applyProtection="1">
      <alignment vertical="center"/>
      <protection hidden="1"/>
    </xf>
    <xf numFmtId="0" fontId="23" fillId="0" borderId="17" xfId="0" applyFont="1" applyBorder="1" applyAlignment="1" applyProtection="1">
      <alignment vertical="center"/>
      <protection hidden="1"/>
    </xf>
    <xf numFmtId="0" fontId="28" fillId="0" borderId="7" xfId="0" applyFont="1" applyBorder="1" applyAlignment="1" applyProtection="1">
      <alignment horizontal="center" vertical="center"/>
      <protection hidden="1"/>
    </xf>
    <xf numFmtId="0" fontId="10" fillId="0" borderId="0" xfId="0" quotePrefix="1" applyFont="1" applyAlignment="1">
      <alignment vertical="center"/>
    </xf>
    <xf numFmtId="0" fontId="10" fillId="0" borderId="2" xfId="0" applyFont="1" applyBorder="1" applyAlignment="1" applyProtection="1">
      <alignment horizontal="center" vertical="center" wrapText="1"/>
      <protection hidden="1"/>
    </xf>
    <xf numFmtId="0" fontId="7" fillId="0" borderId="2" xfId="0" applyFont="1" applyBorder="1" applyAlignment="1" applyProtection="1">
      <alignment vertical="center"/>
      <protection hidden="1"/>
    </xf>
    <xf numFmtId="0" fontId="10" fillId="0" borderId="6" xfId="0" applyFont="1" applyBorder="1" applyAlignment="1" applyProtection="1">
      <alignment vertical="center"/>
      <protection hidden="1"/>
    </xf>
    <xf numFmtId="0" fontId="10" fillId="0" borderId="0" xfId="0" applyFont="1" applyAlignment="1" applyProtection="1">
      <alignment horizontal="center" vertical="center" wrapText="1"/>
      <protection hidden="1"/>
    </xf>
    <xf numFmtId="182" fontId="22" fillId="3" borderId="1" xfId="0" applyNumberFormat="1" applyFont="1" applyFill="1" applyBorder="1" applyAlignment="1" applyProtection="1">
      <alignment vertical="center"/>
      <protection hidden="1"/>
    </xf>
    <xf numFmtId="0" fontId="8" fillId="0" borderId="4" xfId="0" applyFont="1" applyBorder="1" applyProtection="1">
      <protection hidden="1"/>
    </xf>
    <xf numFmtId="0" fontId="15" fillId="0" borderId="58" xfId="0" applyFont="1" applyBorder="1" applyAlignment="1" applyProtection="1">
      <alignment horizontal="center" vertical="center" wrapText="1"/>
      <protection hidden="1"/>
    </xf>
    <xf numFmtId="0" fontId="17" fillId="0" borderId="43" xfId="0" applyFont="1" applyBorder="1" applyAlignment="1" applyProtection="1">
      <alignment horizontal="center" vertical="center"/>
      <protection hidden="1"/>
    </xf>
    <xf numFmtId="0" fontId="15" fillId="0" borderId="59" xfId="0" applyFont="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40" fillId="0" borderId="0" xfId="0" applyFont="1" applyAlignment="1">
      <alignment vertical="center"/>
    </xf>
    <xf numFmtId="0" fontId="7" fillId="0" borderId="4" xfId="0" applyFont="1" applyBorder="1" applyAlignment="1">
      <alignment vertical="center" wrapText="1"/>
    </xf>
    <xf numFmtId="0" fontId="8" fillId="0" borderId="0" xfId="0" applyFont="1" applyAlignment="1">
      <alignment horizontal="left" vertical="center" wrapText="1"/>
    </xf>
    <xf numFmtId="38" fontId="3" fillId="0" borderId="0" xfId="2" applyAlignment="1">
      <alignment vertical="center"/>
    </xf>
    <xf numFmtId="0" fontId="10" fillId="0" borderId="41" xfId="0" applyFont="1" applyBorder="1" applyAlignment="1" applyProtection="1">
      <alignment vertical="center"/>
      <protection hidden="1"/>
    </xf>
    <xf numFmtId="0" fontId="10" fillId="0" borderId="23" xfId="0" applyFont="1" applyBorder="1" applyAlignment="1">
      <alignment vertical="center"/>
    </xf>
    <xf numFmtId="178" fontId="10" fillId="0" borderId="41" xfId="0" applyNumberFormat="1" applyFont="1" applyBorder="1" applyAlignment="1">
      <alignment horizontal="center" vertical="center" wrapText="1"/>
    </xf>
    <xf numFmtId="178" fontId="10" fillId="0" borderId="69" xfId="0" applyNumberFormat="1" applyFont="1" applyBorder="1" applyAlignment="1">
      <alignment horizontal="center" vertical="center" wrapText="1"/>
    </xf>
    <xf numFmtId="0" fontId="30" fillId="0" borderId="0" xfId="0" applyFont="1" applyAlignment="1">
      <alignment horizontal="right"/>
    </xf>
    <xf numFmtId="0" fontId="41" fillId="0" borderId="4" xfId="0" applyFont="1" applyBorder="1" applyAlignment="1">
      <alignment vertical="center"/>
    </xf>
    <xf numFmtId="0" fontId="10" fillId="0" borderId="58" xfId="0" applyFont="1" applyBorder="1" applyAlignment="1" applyProtection="1">
      <alignment vertical="center"/>
      <protection hidden="1"/>
    </xf>
    <xf numFmtId="185" fontId="27" fillId="0" borderId="0" xfId="0" applyNumberFormat="1" applyFont="1" applyAlignment="1">
      <alignment vertical="center"/>
    </xf>
    <xf numFmtId="0" fontId="10" fillId="4" borderId="0" xfId="0" applyFont="1" applyFill="1" applyAlignment="1" applyProtection="1">
      <alignment vertical="center"/>
      <protection hidden="1"/>
    </xf>
    <xf numFmtId="0" fontId="41" fillId="0" borderId="2" xfId="0" applyFont="1" applyBorder="1" applyAlignment="1">
      <alignment vertical="center"/>
    </xf>
    <xf numFmtId="49" fontId="7" fillId="0" borderId="4" xfId="0" applyNumberFormat="1" applyFont="1" applyBorder="1" applyAlignment="1">
      <alignment horizontal="center" vertical="center"/>
    </xf>
    <xf numFmtId="38" fontId="8" fillId="3" borderId="7" xfId="2" applyFont="1" applyFill="1" applyBorder="1" applyAlignment="1">
      <alignment vertical="center"/>
    </xf>
    <xf numFmtId="38" fontId="8" fillId="0" borderId="7" xfId="2" applyFont="1" applyBorder="1" applyAlignment="1">
      <alignment vertical="center"/>
    </xf>
    <xf numFmtId="0" fontId="8" fillId="3" borderId="7" xfId="0" applyFont="1" applyFill="1" applyBorder="1" applyAlignment="1">
      <alignment vertical="center"/>
    </xf>
    <xf numFmtId="0" fontId="8" fillId="0" borderId="46" xfId="0" applyFont="1" applyBorder="1" applyAlignment="1">
      <alignment horizontal="center" vertical="center"/>
    </xf>
    <xf numFmtId="38" fontId="7" fillId="3" borderId="51" xfId="2" applyFont="1" applyFill="1" applyBorder="1" applyAlignment="1" applyProtection="1">
      <alignment vertical="center"/>
      <protection hidden="1"/>
    </xf>
    <xf numFmtId="0" fontId="10" fillId="2" borderId="25" xfId="8" applyFont="1" applyFill="1" applyBorder="1" applyAlignment="1" applyProtection="1">
      <alignment vertical="center"/>
      <protection locked="0"/>
    </xf>
    <xf numFmtId="49" fontId="10" fillId="2" borderId="1" xfId="0" applyNumberFormat="1" applyFont="1" applyFill="1" applyBorder="1" applyAlignment="1" applyProtection="1">
      <alignment horizontal="left" vertical="center" wrapText="1"/>
      <protection locked="0"/>
    </xf>
    <xf numFmtId="49" fontId="26" fillId="0" borderId="59" xfId="0" applyNumberFormat="1" applyFont="1" applyBorder="1" applyAlignment="1" applyProtection="1">
      <alignment horizontal="right" vertical="center"/>
      <protection hidden="1"/>
    </xf>
    <xf numFmtId="0" fontId="26" fillId="0" borderId="21" xfId="0" applyFont="1" applyBorder="1" applyAlignment="1">
      <alignment vertical="center"/>
    </xf>
    <xf numFmtId="49" fontId="26" fillId="0" borderId="2" xfId="0" applyNumberFormat="1" applyFont="1" applyBorder="1" applyAlignment="1" applyProtection="1">
      <alignment vertical="center"/>
      <protection hidden="1"/>
    </xf>
    <xf numFmtId="0" fontId="26" fillId="0" borderId="2" xfId="0" applyFont="1" applyBorder="1" applyAlignment="1">
      <alignment vertical="center"/>
    </xf>
    <xf numFmtId="178" fontId="26" fillId="0" borderId="51" xfId="0" applyNumberFormat="1" applyFont="1" applyBorder="1" applyAlignment="1">
      <alignment horizontal="center" vertical="center" wrapText="1"/>
    </xf>
    <xf numFmtId="0" fontId="26" fillId="0" borderId="1" xfId="0" applyFont="1" applyBorder="1" applyAlignment="1" applyProtection="1">
      <alignment vertical="center"/>
      <protection hidden="1"/>
    </xf>
    <xf numFmtId="49" fontId="26" fillId="0" borderId="59" xfId="0" applyNumberFormat="1" applyFont="1" applyBorder="1" applyAlignment="1" applyProtection="1">
      <alignment horizontal="center" vertical="center"/>
      <protection hidden="1"/>
    </xf>
    <xf numFmtId="0" fontId="26" fillId="0" borderId="11" xfId="0" applyFont="1" applyBorder="1" applyAlignment="1">
      <alignment vertical="center"/>
    </xf>
    <xf numFmtId="0" fontId="16" fillId="4" borderId="0" xfId="0" applyFont="1" applyFill="1" applyAlignment="1" applyProtection="1">
      <alignment horizontal="center" vertical="center"/>
      <protection hidden="1"/>
    </xf>
    <xf numFmtId="0" fontId="16" fillId="4" borderId="17" xfId="0" applyFont="1" applyFill="1" applyBorder="1" applyAlignment="1" applyProtection="1">
      <alignment horizontal="center" vertical="center"/>
      <protection hidden="1"/>
    </xf>
    <xf numFmtId="0" fontId="21" fillId="0" borderId="0" xfId="0" applyFont="1" applyAlignment="1">
      <alignment vertical="center"/>
    </xf>
    <xf numFmtId="0" fontId="10" fillId="0" borderId="70" xfId="0" applyFont="1" applyBorder="1" applyAlignment="1" applyProtection="1">
      <alignment vertical="center"/>
      <protection hidden="1"/>
    </xf>
    <xf numFmtId="0" fontId="10" fillId="0" borderId="71" xfId="0" applyFont="1" applyBorder="1" applyAlignment="1">
      <alignment vertical="center"/>
    </xf>
    <xf numFmtId="178" fontId="10" fillId="0" borderId="70" xfId="0" applyNumberFormat="1" applyFont="1" applyBorder="1" applyAlignment="1">
      <alignment horizontal="center" vertical="center" wrapText="1"/>
    </xf>
    <xf numFmtId="178" fontId="10" fillId="0" borderId="72" xfId="0" applyNumberFormat="1" applyFont="1" applyBorder="1" applyAlignment="1">
      <alignment horizontal="center" vertical="center" wrapText="1"/>
    </xf>
    <xf numFmtId="0" fontId="0" fillId="2" borderId="51" xfId="0" applyFill="1" applyBorder="1" applyAlignment="1" applyProtection="1">
      <alignment vertical="center"/>
      <protection locked="0"/>
    </xf>
    <xf numFmtId="0" fontId="12" fillId="0" borderId="8" xfId="0" applyFont="1" applyBorder="1" applyAlignment="1">
      <alignment horizontal="center" vertical="center"/>
    </xf>
    <xf numFmtId="49" fontId="12" fillId="0" borderId="2" xfId="0" applyNumberFormat="1" applyFont="1" applyBorder="1" applyAlignment="1">
      <alignment horizontal="left" vertical="center"/>
    </xf>
    <xf numFmtId="0" fontId="3" fillId="0" borderId="7" xfId="0" applyFont="1" applyBorder="1" applyAlignment="1" applyProtection="1">
      <alignment horizontal="center" vertical="center"/>
      <protection hidden="1"/>
    </xf>
    <xf numFmtId="49" fontId="10" fillId="0" borderId="4" xfId="0" applyNumberFormat="1" applyFont="1" applyBorder="1" applyAlignment="1" applyProtection="1">
      <alignment horizontal="left" vertical="center" wrapText="1"/>
      <protection locked="0"/>
    </xf>
    <xf numFmtId="0" fontId="10" fillId="2" borderId="7" xfId="0" applyFont="1" applyFill="1" applyBorder="1" applyAlignment="1" applyProtection="1">
      <alignment horizontal="center" vertical="center"/>
      <protection locked="0"/>
    </xf>
    <xf numFmtId="0" fontId="0" fillId="0" borderId="18" xfId="0" applyBorder="1" applyAlignment="1" applyProtection="1">
      <alignment vertical="center"/>
      <protection hidden="1"/>
    </xf>
    <xf numFmtId="0" fontId="0" fillId="0" borderId="17" xfId="0" applyBorder="1" applyAlignment="1" applyProtection="1">
      <alignment vertical="center"/>
      <protection hidden="1"/>
    </xf>
    <xf numFmtId="0" fontId="0" fillId="0" borderId="24" xfId="0" applyBorder="1" applyAlignment="1" applyProtection="1">
      <alignment vertical="center"/>
      <protection hidden="1"/>
    </xf>
    <xf numFmtId="0" fontId="0" fillId="0" borderId="0" xfId="0" applyAlignment="1">
      <alignment horizontal="center" vertical="center"/>
    </xf>
    <xf numFmtId="0" fontId="3" fillId="0" borderId="0" xfId="0" applyFont="1" applyAlignment="1">
      <alignment horizontal="left" vertical="center"/>
    </xf>
    <xf numFmtId="38" fontId="0" fillId="0" borderId="0" xfId="2" applyFont="1" applyAlignment="1">
      <alignment horizontal="left" vertical="center"/>
    </xf>
    <xf numFmtId="38" fontId="7" fillId="0" borderId="0" xfId="2" applyFont="1" applyAlignment="1" applyProtection="1">
      <alignment vertical="center"/>
      <protection locked="0"/>
    </xf>
    <xf numFmtId="0" fontId="0" fillId="4" borderId="4" xfId="0" applyFill="1" applyBorder="1" applyAlignment="1">
      <alignment vertical="center"/>
    </xf>
    <xf numFmtId="0" fontId="7" fillId="0" borderId="0" xfId="0" applyFont="1" applyAlignment="1">
      <alignment horizontal="left" vertical="center" wrapText="1" indent="1"/>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hidden="1"/>
    </xf>
    <xf numFmtId="0" fontId="10" fillId="6" borderId="0" xfId="0" applyFont="1" applyFill="1" applyAlignment="1" applyProtection="1">
      <alignment vertical="center"/>
      <protection hidden="1"/>
    </xf>
    <xf numFmtId="0" fontId="10" fillId="6" borderId="0" xfId="0" applyFont="1" applyFill="1" applyAlignment="1" applyProtection="1">
      <alignment horizontal="center" vertical="center"/>
      <protection hidden="1"/>
    </xf>
    <xf numFmtId="0" fontId="10" fillId="0" borderId="7" xfId="0" applyFont="1" applyBorder="1" applyAlignment="1">
      <alignment horizontal="centerContinuous" vertical="center" wrapText="1"/>
    </xf>
    <xf numFmtId="0" fontId="10" fillId="0" borderId="7" xfId="0" applyFont="1" applyBorder="1" applyAlignment="1">
      <alignment horizontal="centerContinuous" vertical="center"/>
    </xf>
    <xf numFmtId="0" fontId="10" fillId="2" borderId="7" xfId="0" applyFont="1" applyFill="1" applyBorder="1" applyAlignment="1" applyProtection="1">
      <alignment vertical="center" wrapText="1"/>
      <protection locked="0"/>
    </xf>
    <xf numFmtId="182" fontId="10" fillId="2" borderId="7" xfId="0" applyNumberFormat="1" applyFont="1" applyFill="1" applyBorder="1" applyAlignment="1" applyProtection="1">
      <alignment vertical="center"/>
      <protection locked="0"/>
    </xf>
    <xf numFmtId="0" fontId="10" fillId="0" borderId="7" xfId="0" applyFont="1" applyBorder="1" applyAlignment="1">
      <alignment horizontal="center" vertical="center" wrapText="1"/>
    </xf>
    <xf numFmtId="0" fontId="10" fillId="0" borderId="51" xfId="0" applyFont="1" applyBorder="1" applyAlignment="1">
      <alignment horizontal="centerContinuous" vertical="center"/>
    </xf>
    <xf numFmtId="0" fontId="0" fillId="0" borderId="3" xfId="0" applyBorder="1"/>
    <xf numFmtId="0" fontId="10" fillId="0" borderId="34" xfId="0" applyFont="1" applyBorder="1" applyAlignment="1">
      <alignment horizontal="center" vertical="center"/>
    </xf>
    <xf numFmtId="182" fontId="7" fillId="3" borderId="68" xfId="0" applyNumberFormat="1" applyFont="1" applyFill="1" applyBorder="1" applyAlignment="1">
      <alignment vertical="center"/>
    </xf>
    <xf numFmtId="0" fontId="10" fillId="6" borderId="7" xfId="0" applyFont="1" applyFill="1" applyBorder="1" applyAlignment="1">
      <alignment vertical="center"/>
    </xf>
    <xf numFmtId="0" fontId="8" fillId="0" borderId="1" xfId="0" applyFont="1" applyBorder="1" applyAlignment="1" applyProtection="1">
      <alignment horizontal="center" vertical="center"/>
      <protection hidden="1"/>
    </xf>
    <xf numFmtId="176" fontId="8" fillId="0" borderId="1" xfId="0" applyNumberFormat="1" applyFont="1" applyBorder="1" applyAlignment="1" applyProtection="1">
      <alignment horizontal="center" vertical="center"/>
      <protection hidden="1"/>
    </xf>
    <xf numFmtId="0" fontId="8" fillId="4" borderId="0" xfId="0" applyFont="1" applyFill="1" applyAlignment="1">
      <alignment vertical="center"/>
    </xf>
    <xf numFmtId="0" fontId="41" fillId="0" borderId="0" xfId="0" applyFont="1"/>
    <xf numFmtId="0" fontId="11" fillId="0" borderId="1" xfId="0" applyFont="1" applyBorder="1" applyAlignment="1">
      <alignment horizontal="center" vertical="center"/>
    </xf>
    <xf numFmtId="0" fontId="3" fillId="4" borderId="6" xfId="0" applyFont="1" applyFill="1" applyBorder="1" applyAlignment="1">
      <alignment vertical="center"/>
    </xf>
    <xf numFmtId="49" fontId="7" fillId="4" borderId="4" xfId="0" applyNumberFormat="1" applyFont="1" applyFill="1" applyBorder="1" applyAlignment="1">
      <alignment horizontal="center" vertical="center"/>
    </xf>
    <xf numFmtId="0" fontId="41" fillId="4" borderId="4" xfId="0" applyFont="1" applyFill="1" applyBorder="1" applyAlignment="1">
      <alignment vertical="center"/>
    </xf>
    <xf numFmtId="0" fontId="16" fillId="4" borderId="4" xfId="0" applyFont="1" applyFill="1" applyBorder="1" applyAlignment="1" applyProtection="1">
      <alignment horizontal="center" vertical="center"/>
      <protection hidden="1"/>
    </xf>
    <xf numFmtId="38" fontId="7" fillId="4" borderId="5" xfId="2" applyFont="1" applyFill="1" applyBorder="1" applyAlignment="1" applyProtection="1">
      <alignment vertical="center"/>
      <protection locked="0"/>
    </xf>
    <xf numFmtId="0" fontId="3" fillId="4" borderId="3" xfId="0" applyFont="1" applyFill="1" applyBorder="1" applyAlignment="1">
      <alignment vertical="center"/>
    </xf>
    <xf numFmtId="49" fontId="7" fillId="4" borderId="0" xfId="0" applyNumberFormat="1" applyFont="1" applyFill="1" applyAlignment="1">
      <alignment horizontal="center" vertical="center"/>
    </xf>
    <xf numFmtId="0" fontId="41" fillId="4" borderId="0" xfId="0" applyFont="1" applyFill="1" applyAlignment="1">
      <alignment vertical="center"/>
    </xf>
    <xf numFmtId="38" fontId="7" fillId="4" borderId="20" xfId="2" applyFont="1" applyFill="1" applyBorder="1" applyAlignment="1" applyProtection="1">
      <alignment vertical="center"/>
      <protection locked="0"/>
    </xf>
    <xf numFmtId="0" fontId="0" fillId="4" borderId="0" xfId="0" applyFill="1" applyAlignment="1">
      <alignment horizontal="center" vertical="center"/>
    </xf>
    <xf numFmtId="38" fontId="7" fillId="4" borderId="20" xfId="2" applyFont="1" applyFill="1" applyBorder="1" applyAlignment="1">
      <alignment vertical="center"/>
    </xf>
    <xf numFmtId="0" fontId="3" fillId="4" borderId="18" xfId="0" applyFont="1" applyFill="1" applyBorder="1" applyAlignment="1">
      <alignment vertical="center"/>
    </xf>
    <xf numFmtId="49" fontId="7" fillId="4" borderId="17" xfId="0" applyNumberFormat="1" applyFont="1" applyFill="1" applyBorder="1" applyAlignment="1">
      <alignment horizontal="center" vertical="center"/>
    </xf>
    <xf numFmtId="0" fontId="7" fillId="4" borderId="17" xfId="0" applyFont="1" applyFill="1" applyBorder="1" applyAlignment="1">
      <alignment vertical="center"/>
    </xf>
    <xf numFmtId="0" fontId="7" fillId="4" borderId="17" xfId="0" applyFont="1" applyFill="1" applyBorder="1" applyAlignment="1">
      <alignment horizontal="center" vertical="center"/>
    </xf>
    <xf numFmtId="0" fontId="0" fillId="4" borderId="17" xfId="0" applyFill="1" applyBorder="1" applyAlignment="1">
      <alignment vertical="center"/>
    </xf>
    <xf numFmtId="38" fontId="7" fillId="4" borderId="24" xfId="2" applyFont="1" applyFill="1" applyBorder="1" applyAlignment="1">
      <alignment vertical="center"/>
    </xf>
    <xf numFmtId="0" fontId="7" fillId="4" borderId="3" xfId="0" applyFont="1" applyFill="1" applyBorder="1" applyAlignment="1">
      <alignment vertical="center"/>
    </xf>
    <xf numFmtId="0" fontId="9" fillId="4" borderId="0" xfId="0" applyFont="1" applyFill="1" applyAlignment="1">
      <alignment vertical="center"/>
    </xf>
    <xf numFmtId="0" fontId="7" fillId="4" borderId="18" xfId="0" applyFont="1" applyFill="1" applyBorder="1" applyAlignment="1">
      <alignment vertical="center"/>
    </xf>
    <xf numFmtId="0" fontId="9" fillId="4" borderId="17" xfId="0" applyFont="1" applyFill="1" applyBorder="1" applyAlignment="1">
      <alignment vertical="center"/>
    </xf>
    <xf numFmtId="38" fontId="7" fillId="4" borderId="24" xfId="2" applyFont="1" applyFill="1" applyBorder="1" applyAlignment="1" applyProtection="1">
      <alignment vertical="center"/>
      <protection locked="0"/>
    </xf>
    <xf numFmtId="49" fontId="8" fillId="4" borderId="4"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49" fontId="7" fillId="4" borderId="18" xfId="0" applyNumberFormat="1" applyFont="1" applyFill="1" applyBorder="1" applyAlignment="1">
      <alignment horizontal="center" vertical="center"/>
    </xf>
    <xf numFmtId="0" fontId="12" fillId="4" borderId="0" xfId="0" applyFont="1" applyFill="1" applyAlignment="1">
      <alignment vertical="center"/>
    </xf>
    <xf numFmtId="0" fontId="12" fillId="8" borderId="0" xfId="0" applyFont="1" applyFill="1" applyAlignment="1">
      <alignment vertical="center"/>
    </xf>
    <xf numFmtId="0" fontId="0" fillId="8" borderId="0" xfId="0" applyFill="1" applyAlignment="1">
      <alignment vertical="center"/>
    </xf>
    <xf numFmtId="0" fontId="10" fillId="8" borderId="0" xfId="0" applyFont="1" applyFill="1" applyAlignment="1">
      <alignment vertical="center"/>
    </xf>
    <xf numFmtId="0" fontId="7" fillId="8" borderId="0" xfId="0" applyFont="1" applyFill="1" applyAlignment="1" applyProtection="1">
      <alignment vertical="center"/>
      <protection hidden="1"/>
    </xf>
    <xf numFmtId="0" fontId="0" fillId="8" borderId="0" xfId="0" applyFill="1" applyAlignment="1" applyProtection="1">
      <alignment horizontal="center" vertical="center"/>
      <protection hidden="1"/>
    </xf>
    <xf numFmtId="0" fontId="7" fillId="8" borderId="0" xfId="0" quotePrefix="1" applyFont="1" applyFill="1" applyAlignment="1" applyProtection="1">
      <alignment horizontal="center" vertical="center"/>
      <protection hidden="1"/>
    </xf>
    <xf numFmtId="0" fontId="16" fillId="8" borderId="0" xfId="0" applyFont="1" applyFill="1" applyAlignment="1">
      <alignment horizontal="center" vertical="center"/>
    </xf>
    <xf numFmtId="0" fontId="0" fillId="8" borderId="7" xfId="0" applyFill="1" applyBorder="1" applyAlignment="1">
      <alignment horizontal="center" vertical="center"/>
    </xf>
    <xf numFmtId="0" fontId="0" fillId="8" borderId="1" xfId="0" applyFill="1" applyBorder="1" applyAlignment="1">
      <alignment horizontal="center" vertical="center"/>
    </xf>
    <xf numFmtId="0" fontId="10" fillId="0" borderId="46" xfId="0" applyFont="1" applyBorder="1" applyAlignment="1">
      <alignment horizontal="center" vertical="center"/>
    </xf>
    <xf numFmtId="0" fontId="44" fillId="7" borderId="0" xfId="7" applyFont="1" applyFill="1" applyAlignment="1" applyProtection="1">
      <alignment horizontal="left" vertical="center"/>
      <protection hidden="1"/>
    </xf>
    <xf numFmtId="0" fontId="45" fillId="0" borderId="0" xfId="7" applyFont="1" applyAlignment="1">
      <alignment horizontal="left" vertical="center"/>
    </xf>
    <xf numFmtId="176" fontId="8" fillId="0" borderId="0" xfId="7" applyNumberFormat="1" applyFont="1" applyProtection="1">
      <alignment vertical="center"/>
      <protection hidden="1"/>
    </xf>
    <xf numFmtId="0" fontId="46" fillId="0" borderId="0" xfId="7" applyFont="1" applyAlignment="1">
      <alignment horizontal="left" vertical="center"/>
    </xf>
    <xf numFmtId="0" fontId="8" fillId="0" borderId="0" xfId="7" applyFont="1" applyProtection="1">
      <alignment vertical="center"/>
      <protection hidden="1"/>
    </xf>
    <xf numFmtId="0" fontId="8" fillId="0" borderId="0" xfId="7" applyFont="1">
      <alignment vertical="center"/>
    </xf>
    <xf numFmtId="176" fontId="45" fillId="0" borderId="0" xfId="7" applyNumberFormat="1" applyFont="1" applyAlignment="1">
      <alignment horizontal="left" vertical="center"/>
    </xf>
    <xf numFmtId="0" fontId="45" fillId="0" borderId="0" xfId="7" applyFont="1" applyAlignment="1" applyProtection="1">
      <alignment horizontal="left" vertical="center"/>
      <protection hidden="1"/>
    </xf>
    <xf numFmtId="176" fontId="16" fillId="0" borderId="0" xfId="7" applyNumberFormat="1" applyFont="1" applyProtection="1">
      <alignment vertical="center"/>
      <protection hidden="1"/>
    </xf>
    <xf numFmtId="0" fontId="45" fillId="0" borderId="0" xfId="8" applyFont="1" applyAlignment="1">
      <alignment horizontal="left" vertical="center"/>
    </xf>
    <xf numFmtId="38" fontId="7" fillId="8" borderId="7" xfId="2" applyFont="1" applyFill="1" applyBorder="1" applyAlignment="1" applyProtection="1">
      <alignment horizontal="center" vertical="center"/>
      <protection locked="0"/>
    </xf>
    <xf numFmtId="38" fontId="7" fillId="8" borderId="1" xfId="2" applyFont="1" applyFill="1" applyBorder="1" applyAlignment="1" applyProtection="1">
      <alignment horizontal="center" vertical="center"/>
      <protection locked="0"/>
    </xf>
    <xf numFmtId="38" fontId="7" fillId="8" borderId="46" xfId="2" applyFont="1" applyFill="1" applyBorder="1" applyAlignment="1" applyProtection="1">
      <alignment horizontal="center" vertical="center"/>
      <protection locked="0"/>
    </xf>
    <xf numFmtId="38" fontId="7" fillId="8" borderId="5" xfId="2" applyFont="1" applyFill="1" applyBorder="1" applyAlignment="1" applyProtection="1">
      <alignment horizontal="center" vertical="center"/>
      <protection locked="0"/>
    </xf>
    <xf numFmtId="38" fontId="7" fillId="8" borderId="58" xfId="2" applyFont="1" applyFill="1" applyBorder="1" applyAlignment="1" applyProtection="1">
      <alignment horizontal="center" vertical="center"/>
      <protection locked="0"/>
    </xf>
    <xf numFmtId="38" fontId="7" fillId="8" borderId="20" xfId="2" applyFont="1" applyFill="1" applyBorder="1" applyAlignment="1" applyProtection="1">
      <alignment horizontal="center" vertical="center"/>
      <protection locked="0"/>
    </xf>
    <xf numFmtId="38" fontId="7" fillId="8" borderId="58" xfId="2" applyFont="1" applyFill="1" applyBorder="1" applyAlignment="1">
      <alignment horizontal="center" vertical="center"/>
    </xf>
    <xf numFmtId="38" fontId="7" fillId="8" borderId="20" xfId="2" applyFont="1" applyFill="1" applyBorder="1" applyAlignment="1">
      <alignment horizontal="center" vertical="center"/>
    </xf>
    <xf numFmtId="38" fontId="7" fillId="8" borderId="59" xfId="2" applyFont="1" applyFill="1" applyBorder="1" applyAlignment="1">
      <alignment horizontal="center" vertical="center"/>
    </xf>
    <xf numFmtId="38" fontId="7" fillId="8" borderId="24" xfId="2" applyFont="1" applyFill="1" applyBorder="1" applyAlignment="1">
      <alignment horizontal="center" vertical="center"/>
    </xf>
    <xf numFmtId="38" fontId="3" fillId="8" borderId="7" xfId="2" applyFill="1" applyBorder="1" applyAlignment="1" applyProtection="1">
      <alignment horizontal="center" vertical="center"/>
      <protection hidden="1"/>
    </xf>
    <xf numFmtId="38" fontId="3" fillId="8" borderId="1" xfId="2" applyFill="1" applyBorder="1" applyAlignment="1" applyProtection="1">
      <alignment horizontal="center" vertical="center"/>
      <protection hidden="1"/>
    </xf>
    <xf numFmtId="38" fontId="3" fillId="8" borderId="5" xfId="2" applyFill="1" applyBorder="1" applyAlignment="1" applyProtection="1">
      <alignment horizontal="center" vertical="center"/>
      <protection hidden="1"/>
    </xf>
    <xf numFmtId="38" fontId="3" fillId="8" borderId="53" xfId="2" applyFill="1" applyBorder="1" applyAlignment="1" applyProtection="1">
      <alignment horizontal="center" vertical="center"/>
      <protection locked="0"/>
    </xf>
    <xf numFmtId="38" fontId="3" fillId="8" borderId="22" xfId="2" applyFill="1" applyBorder="1" applyAlignment="1" applyProtection="1">
      <alignment horizontal="center" vertical="center"/>
      <protection locked="0"/>
    </xf>
    <xf numFmtId="38" fontId="3" fillId="8" borderId="53" xfId="2" applyFill="1" applyBorder="1" applyAlignment="1" applyProtection="1">
      <alignment horizontal="center" vertical="center"/>
      <protection hidden="1"/>
    </xf>
    <xf numFmtId="38" fontId="3" fillId="8" borderId="22" xfId="2" applyFill="1" applyBorder="1" applyAlignment="1" applyProtection="1">
      <alignment horizontal="center" vertical="center"/>
      <protection hidden="1"/>
    </xf>
    <xf numFmtId="38" fontId="3" fillId="8" borderId="59" xfId="2" applyFill="1" applyBorder="1" applyAlignment="1" applyProtection="1">
      <alignment horizontal="center" vertical="center"/>
      <protection locked="0"/>
    </xf>
    <xf numFmtId="38" fontId="3" fillId="8" borderId="24" xfId="2" applyFill="1" applyBorder="1" applyAlignment="1" applyProtection="1">
      <alignment horizontal="center" vertical="center"/>
      <protection locked="0"/>
    </xf>
    <xf numFmtId="38" fontId="7" fillId="8" borderId="59" xfId="2" applyFont="1" applyFill="1" applyBorder="1" applyAlignment="1" applyProtection="1">
      <alignment horizontal="center" vertical="center"/>
      <protection locked="0"/>
    </xf>
    <xf numFmtId="38" fontId="7" fillId="8" borderId="24" xfId="2" applyFont="1" applyFill="1" applyBorder="1" applyAlignment="1" applyProtection="1">
      <alignment horizontal="center" vertical="center"/>
      <protection locked="0"/>
    </xf>
    <xf numFmtId="38" fontId="7" fillId="8" borderId="52" xfId="2" applyFont="1" applyFill="1" applyBorder="1" applyAlignment="1" applyProtection="1">
      <alignment horizontal="center" vertical="center"/>
      <protection locked="0"/>
    </xf>
    <xf numFmtId="38" fontId="7" fillId="8" borderId="31" xfId="2" applyFont="1" applyFill="1" applyBorder="1" applyAlignment="1" applyProtection="1">
      <alignment horizontal="center" vertical="center"/>
      <protection locked="0"/>
    </xf>
    <xf numFmtId="38" fontId="7" fillId="8" borderId="7" xfId="2" applyFont="1" applyFill="1" applyBorder="1" applyAlignment="1" applyProtection="1">
      <alignment horizontal="center" vertical="center"/>
      <protection hidden="1"/>
    </xf>
    <xf numFmtId="38" fontId="7" fillId="8" borderId="51" xfId="2" applyFont="1" applyFill="1" applyBorder="1" applyAlignment="1" applyProtection="1">
      <alignment horizontal="center" vertical="center"/>
      <protection hidden="1"/>
    </xf>
    <xf numFmtId="0" fontId="45" fillId="4" borderId="0" xfId="7" applyFont="1" applyFill="1" applyAlignment="1">
      <alignment horizontal="left" vertical="center"/>
    </xf>
    <xf numFmtId="0" fontId="45" fillId="7" borderId="0" xfId="7" applyFont="1" applyFill="1" applyAlignment="1">
      <alignment horizontal="left" vertical="center"/>
    </xf>
    <xf numFmtId="0" fontId="45" fillId="4" borderId="0" xfId="7" applyFont="1" applyFill="1" applyAlignment="1" applyProtection="1">
      <alignment horizontal="left" vertical="center"/>
      <protection hidden="1"/>
    </xf>
    <xf numFmtId="0" fontId="45" fillId="0" borderId="0" xfId="12" applyFont="1" applyAlignment="1">
      <alignment horizontal="left" vertical="center"/>
    </xf>
    <xf numFmtId="0" fontId="45" fillId="0" borderId="0" xfId="7" applyFont="1" applyAlignment="1">
      <alignment horizontal="left" vertical="center" shrinkToFit="1"/>
    </xf>
    <xf numFmtId="0" fontId="45" fillId="0" borderId="0" xfId="7" quotePrefix="1" applyFont="1" applyAlignment="1" applyProtection="1">
      <alignment horizontal="left" vertical="center"/>
      <protection hidden="1"/>
    </xf>
    <xf numFmtId="0" fontId="7" fillId="0" borderId="0" xfId="7">
      <alignment vertical="center"/>
    </xf>
    <xf numFmtId="0" fontId="45" fillId="2" borderId="0" xfId="7" applyFont="1" applyFill="1" applyAlignment="1" applyProtection="1">
      <alignment horizontal="left" vertical="center"/>
      <protection hidden="1"/>
    </xf>
    <xf numFmtId="0" fontId="45" fillId="2" borderId="0" xfId="7" applyFont="1" applyFill="1" applyAlignment="1">
      <alignment horizontal="left" vertical="center"/>
    </xf>
    <xf numFmtId="0" fontId="45" fillId="4" borderId="0" xfId="6" applyFont="1" applyFill="1" applyAlignment="1">
      <alignment horizontal="left" vertical="center"/>
    </xf>
    <xf numFmtId="179" fontId="45" fillId="0" borderId="0" xfId="7" applyNumberFormat="1" applyFont="1" applyAlignment="1">
      <alignment horizontal="left" vertical="center"/>
    </xf>
    <xf numFmtId="0" fontId="10" fillId="0" borderId="0" xfId="7" applyFont="1">
      <alignment vertical="center"/>
    </xf>
    <xf numFmtId="0" fontId="45" fillId="0" borderId="0" xfId="9" applyFont="1" applyAlignment="1">
      <alignment horizontal="left" vertical="center"/>
    </xf>
    <xf numFmtId="0" fontId="45" fillId="0" borderId="0" xfId="6" applyFont="1" applyAlignment="1">
      <alignment horizontal="left" vertical="center"/>
    </xf>
    <xf numFmtId="0" fontId="7" fillId="0" borderId="0" xfId="6">
      <alignment vertical="center"/>
    </xf>
    <xf numFmtId="0" fontId="10" fillId="0" borderId="3" xfId="0" applyFont="1" applyBorder="1" applyAlignment="1" applyProtection="1">
      <alignment vertical="center"/>
      <protection hidden="1"/>
    </xf>
    <xf numFmtId="0" fontId="10" fillId="0" borderId="58" xfId="10" applyFont="1" applyBorder="1">
      <alignment vertical="center"/>
    </xf>
    <xf numFmtId="0" fontId="10" fillId="0" borderId="3" xfId="10" applyFont="1" applyBorder="1">
      <alignment vertical="center"/>
    </xf>
    <xf numFmtId="0" fontId="29" fillId="0" borderId="58" xfId="10" applyFont="1" applyBorder="1">
      <alignment vertical="center"/>
    </xf>
    <xf numFmtId="0" fontId="42" fillId="0" borderId="58" xfId="10" applyFont="1" applyBorder="1">
      <alignment vertical="center"/>
    </xf>
    <xf numFmtId="0" fontId="15" fillId="0" borderId="58" xfId="10" applyFont="1" applyBorder="1">
      <alignment vertical="center"/>
    </xf>
    <xf numFmtId="0" fontId="15" fillId="0" borderId="25" xfId="8" applyFont="1" applyBorder="1" applyAlignment="1" applyProtection="1">
      <alignment horizontal="center" vertical="center"/>
      <protection hidden="1"/>
    </xf>
    <xf numFmtId="0" fontId="15" fillId="0" borderId="33"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0" fontId="15" fillId="0" borderId="57" xfId="0" applyFont="1" applyBorder="1" applyAlignment="1" applyProtection="1">
      <alignment horizontal="center" vertical="center"/>
      <protection hidden="1"/>
    </xf>
    <xf numFmtId="0" fontId="15" fillId="0" borderId="73" xfId="0" applyFont="1" applyBorder="1" applyAlignment="1" applyProtection="1">
      <alignment horizontal="center" vertical="center"/>
      <protection hidden="1"/>
    </xf>
    <xf numFmtId="38" fontId="0" fillId="8" borderId="46" xfId="2" applyFont="1" applyFill="1" applyBorder="1" applyAlignment="1" applyProtection="1">
      <alignment horizontal="center" vertical="center"/>
      <protection hidden="1"/>
    </xf>
    <xf numFmtId="0" fontId="0" fillId="8" borderId="53" xfId="0" applyFill="1" applyBorder="1" applyAlignment="1">
      <alignment horizontal="center" vertical="center"/>
    </xf>
    <xf numFmtId="0" fontId="0" fillId="8" borderId="54" xfId="0" applyFill="1" applyBorder="1" applyAlignment="1">
      <alignment horizontal="center" vertical="center"/>
    </xf>
    <xf numFmtId="0" fontId="0" fillId="8" borderId="52" xfId="0" applyFill="1" applyBorder="1" applyAlignment="1">
      <alignment horizontal="center" vertical="center"/>
    </xf>
    <xf numFmtId="0" fontId="10" fillId="9" borderId="16" xfId="0" applyFont="1" applyFill="1" applyBorder="1" applyAlignment="1">
      <alignment vertical="center"/>
    </xf>
    <xf numFmtId="0" fontId="10" fillId="9" borderId="10" xfId="0" applyFont="1" applyFill="1" applyBorder="1" applyAlignment="1">
      <alignment vertical="center"/>
    </xf>
    <xf numFmtId="182" fontId="10" fillId="0" borderId="8" xfId="0" applyNumberFormat="1" applyFont="1" applyBorder="1" applyAlignment="1">
      <alignment horizontal="right" vertical="center"/>
    </xf>
    <xf numFmtId="0" fontId="7" fillId="0" borderId="2" xfId="0" applyFont="1" applyBorder="1" applyAlignment="1">
      <alignment horizontal="centerContinuous" vertical="center"/>
    </xf>
    <xf numFmtId="0" fontId="23" fillId="0" borderId="2" xfId="0" applyFont="1" applyBorder="1" applyAlignment="1">
      <alignment horizontal="centerContinuous" vertical="center"/>
    </xf>
    <xf numFmtId="0" fontId="0" fillId="0" borderId="6" xfId="0" applyBorder="1" applyAlignment="1">
      <alignment vertical="center"/>
    </xf>
    <xf numFmtId="0" fontId="20" fillId="0" borderId="7" xfId="0" applyFont="1" applyBorder="1" applyAlignment="1" applyProtection="1">
      <alignment horizontal="center" vertical="center" wrapText="1"/>
      <protection hidden="1"/>
    </xf>
    <xf numFmtId="0" fontId="0" fillId="0" borderId="7" xfId="0" applyBorder="1" applyAlignment="1">
      <alignment horizontal="left" vertical="center"/>
    </xf>
    <xf numFmtId="38" fontId="3" fillId="2" borderId="1" xfId="2" applyFill="1" applyBorder="1" applyAlignment="1" applyProtection="1">
      <alignment vertical="center"/>
      <protection locked="0"/>
    </xf>
    <xf numFmtId="182" fontId="10" fillId="2" borderId="2" xfId="0" applyNumberFormat="1" applyFont="1" applyFill="1" applyBorder="1" applyAlignment="1" applyProtection="1">
      <alignment vertical="center"/>
      <protection locked="0"/>
    </xf>
    <xf numFmtId="0" fontId="20" fillId="0" borderId="7" xfId="0" applyFont="1" applyBorder="1" applyAlignment="1" applyProtection="1">
      <alignment horizontal="left" vertical="center"/>
      <protection hidden="1"/>
    </xf>
    <xf numFmtId="38" fontId="10" fillId="0" borderId="0" xfId="0" quotePrefix="1" applyNumberFormat="1" applyFont="1" applyAlignment="1">
      <alignment vertical="center"/>
    </xf>
    <xf numFmtId="0" fontId="10" fillId="2" borderId="5" xfId="0" applyFont="1" applyFill="1" applyBorder="1" applyAlignment="1" applyProtection="1">
      <alignment horizontal="left" vertical="center" wrapText="1"/>
      <protection locked="0"/>
    </xf>
    <xf numFmtId="38" fontId="3" fillId="0" borderId="4" xfId="2" applyBorder="1" applyAlignment="1">
      <alignment vertical="center"/>
    </xf>
    <xf numFmtId="38" fontId="10" fillId="3" borderId="1" xfId="2" applyFont="1" applyFill="1" applyBorder="1" applyAlignment="1">
      <alignment vertical="center" wrapText="1"/>
    </xf>
    <xf numFmtId="0" fontId="28" fillId="0" borderId="56" xfId="0" applyFont="1" applyBorder="1" applyAlignment="1">
      <alignment horizontal="center" vertical="center"/>
    </xf>
    <xf numFmtId="0" fontId="28" fillId="0" borderId="24" xfId="0" applyFont="1" applyBorder="1" applyAlignment="1">
      <alignment vertical="center"/>
    </xf>
    <xf numFmtId="38" fontId="3" fillId="2" borderId="20" xfId="2" applyFill="1" applyBorder="1" applyAlignment="1" applyProtection="1">
      <alignment vertical="center"/>
      <protection locked="0"/>
    </xf>
    <xf numFmtId="0" fontId="7" fillId="0" borderId="12" xfId="0" applyFont="1" applyBorder="1" applyAlignment="1">
      <alignment horizontal="center" vertical="center"/>
    </xf>
    <xf numFmtId="0" fontId="7" fillId="0" borderId="22" xfId="0" applyFont="1" applyBorder="1" applyAlignment="1">
      <alignment vertical="center"/>
    </xf>
    <xf numFmtId="0" fontId="16" fillId="0" borderId="55" xfId="0" applyFont="1" applyBorder="1" applyAlignment="1" applyProtection="1">
      <alignment horizontal="center" vertical="center"/>
      <protection hidden="1"/>
    </xf>
    <xf numFmtId="38" fontId="3" fillId="2" borderId="22" xfId="2" applyFill="1" applyBorder="1" applyAlignment="1" applyProtection="1">
      <alignment vertical="center"/>
      <protection locked="0"/>
    </xf>
    <xf numFmtId="38" fontId="3" fillId="3" borderId="22" xfId="2" applyFill="1" applyBorder="1" applyAlignment="1" applyProtection="1">
      <alignment vertical="center"/>
      <protection hidden="1"/>
    </xf>
    <xf numFmtId="0" fontId="28" fillId="0" borderId="22" xfId="0" applyFont="1" applyBorder="1" applyAlignment="1">
      <alignment vertical="center"/>
    </xf>
    <xf numFmtId="0" fontId="28" fillId="0" borderId="12" xfId="0" applyFont="1" applyBorder="1" applyAlignment="1">
      <alignment horizontal="center" vertical="center"/>
    </xf>
    <xf numFmtId="0" fontId="28" fillId="0" borderId="10" xfId="0" applyFont="1" applyBorder="1" applyAlignment="1">
      <alignment vertical="center"/>
    </xf>
    <xf numFmtId="0" fontId="7" fillId="0" borderId="33" xfId="0" applyFont="1" applyBorder="1" applyAlignment="1">
      <alignment horizontal="center" vertical="center"/>
    </xf>
    <xf numFmtId="0" fontId="7" fillId="0" borderId="44" xfId="0" applyFont="1" applyBorder="1" applyAlignment="1">
      <alignment horizontal="center" vertical="center"/>
    </xf>
    <xf numFmtId="0" fontId="7" fillId="0" borderId="57" xfId="0" applyFont="1" applyBorder="1" applyAlignment="1">
      <alignment horizontal="center" vertical="center"/>
    </xf>
    <xf numFmtId="0" fontId="10" fillId="0" borderId="3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wrapText="1"/>
      <protection hidden="1"/>
    </xf>
    <xf numFmtId="183" fontId="7" fillId="2" borderId="31" xfId="2" applyNumberFormat="1" applyFont="1" applyFill="1" applyBorder="1" applyAlignment="1" applyProtection="1">
      <alignment vertical="center"/>
      <protection locked="0"/>
    </xf>
    <xf numFmtId="0" fontId="10" fillId="0" borderId="55"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183" fontId="7" fillId="2" borderId="22" xfId="2" applyNumberFormat="1" applyFont="1" applyFill="1" applyBorder="1" applyAlignment="1" applyProtection="1">
      <alignment vertical="center"/>
      <protection locked="0"/>
    </xf>
    <xf numFmtId="0" fontId="10" fillId="0" borderId="36" xfId="0" applyFont="1" applyBorder="1" applyAlignment="1" applyProtection="1">
      <alignment horizontal="center" vertical="center" wrapText="1"/>
      <protection hidden="1"/>
    </xf>
    <xf numFmtId="0" fontId="15" fillId="0" borderId="54" xfId="0" applyFont="1" applyBorder="1" applyAlignment="1" applyProtection="1">
      <alignment horizontal="center" vertical="center" wrapText="1"/>
      <protection hidden="1"/>
    </xf>
    <xf numFmtId="183" fontId="7" fillId="2" borderId="21" xfId="2" applyNumberFormat="1" applyFont="1" applyFill="1" applyBorder="1" applyAlignment="1" applyProtection="1">
      <alignment vertical="center"/>
      <protection locked="0"/>
    </xf>
    <xf numFmtId="3" fontId="10" fillId="2" borderId="32" xfId="0" applyNumberFormat="1" applyFont="1" applyFill="1" applyBorder="1" applyAlignment="1" applyProtection="1">
      <alignment vertical="center"/>
      <protection locked="0"/>
    </xf>
    <xf numFmtId="3" fontId="10" fillId="2" borderId="25" xfId="0" applyNumberFormat="1" applyFont="1" applyFill="1" applyBorder="1" applyAlignment="1" applyProtection="1">
      <alignment vertical="center"/>
      <protection locked="0"/>
    </xf>
    <xf numFmtId="0" fontId="0" fillId="8" borderId="0" xfId="0" applyFill="1" applyAlignment="1">
      <alignment horizontal="center" vertical="center"/>
    </xf>
    <xf numFmtId="3" fontId="10" fillId="9" borderId="38" xfId="0" applyNumberFormat="1" applyFont="1" applyFill="1" applyBorder="1" applyAlignment="1" applyProtection="1">
      <alignment vertical="center"/>
      <protection locked="0"/>
    </xf>
    <xf numFmtId="3" fontId="10" fillId="9" borderId="27" xfId="0" applyNumberFormat="1" applyFont="1" applyFill="1" applyBorder="1" applyAlignment="1" applyProtection="1">
      <alignment vertical="center"/>
      <protection locked="0"/>
    </xf>
    <xf numFmtId="0" fontId="10" fillId="9" borderId="27" xfId="0" applyFont="1" applyFill="1" applyBorder="1" applyAlignment="1">
      <alignment vertical="center"/>
    </xf>
    <xf numFmtId="0" fontId="10" fillId="9" borderId="27" xfId="0" applyFont="1" applyFill="1" applyBorder="1" applyAlignment="1" applyProtection="1">
      <alignment horizontal="right" vertical="center"/>
      <protection locked="0"/>
    </xf>
    <xf numFmtId="0" fontId="10" fillId="9" borderId="27" xfId="0" applyFont="1" applyFill="1" applyBorder="1" applyAlignment="1" applyProtection="1">
      <alignment vertical="center"/>
      <protection locked="0"/>
    </xf>
    <xf numFmtId="3" fontId="10" fillId="9" borderId="27" xfId="0" applyNumberFormat="1" applyFont="1" applyFill="1" applyBorder="1" applyAlignment="1" applyProtection="1">
      <alignment vertical="center"/>
      <protection hidden="1"/>
    </xf>
    <xf numFmtId="3" fontId="10" fillId="9" borderId="27" xfId="0" applyNumberFormat="1" applyFont="1" applyFill="1" applyBorder="1" applyAlignment="1" applyProtection="1">
      <alignment horizontal="center" vertical="center"/>
      <protection locked="0"/>
    </xf>
    <xf numFmtId="0" fontId="23" fillId="2" borderId="52" xfId="9" applyFont="1" applyFill="1" applyBorder="1" applyAlignment="1" applyProtection="1">
      <alignment horizontal="center" vertical="center"/>
      <protection locked="0"/>
    </xf>
    <xf numFmtId="0" fontId="7" fillId="0" borderId="29" xfId="0" applyFont="1" applyBorder="1" applyAlignment="1">
      <alignment vertical="center"/>
    </xf>
    <xf numFmtId="0" fontId="10" fillId="0" borderId="31" xfId="9" applyBorder="1" applyAlignment="1">
      <alignment vertical="center"/>
    </xf>
    <xf numFmtId="0" fontId="23" fillId="2" borderId="53" xfId="9" applyFont="1" applyFill="1" applyBorder="1" applyAlignment="1" applyProtection="1">
      <alignment horizontal="center" vertical="center"/>
      <protection locked="0"/>
    </xf>
    <xf numFmtId="0" fontId="7" fillId="0" borderId="39" xfId="0" applyFont="1" applyBorder="1" applyAlignment="1">
      <alignment vertical="center"/>
    </xf>
    <xf numFmtId="0" fontId="10" fillId="0" borderId="22" xfId="9" applyBorder="1" applyAlignment="1">
      <alignment vertical="center"/>
    </xf>
    <xf numFmtId="0" fontId="23" fillId="2" borderId="54" xfId="9" applyFont="1" applyFill="1" applyBorder="1" applyAlignment="1" applyProtection="1">
      <alignment horizontal="center" vertical="center"/>
      <protection locked="0"/>
    </xf>
    <xf numFmtId="0" fontId="10" fillId="10" borderId="0" xfId="0" applyFont="1" applyFill="1" applyAlignment="1">
      <alignment vertical="center"/>
    </xf>
    <xf numFmtId="49" fontId="8"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38" fontId="3" fillId="2" borderId="24" xfId="2" applyFill="1" applyBorder="1" applyAlignment="1" applyProtection="1">
      <alignment vertical="center"/>
      <protection locked="0"/>
    </xf>
    <xf numFmtId="38" fontId="0" fillId="8" borderId="5" xfId="2" applyFont="1" applyFill="1" applyBorder="1" applyAlignment="1" applyProtection="1">
      <alignment horizontal="center" vertical="center"/>
      <protection locked="0"/>
    </xf>
    <xf numFmtId="0" fontId="20" fillId="0" borderId="0" xfId="0" applyFont="1" applyAlignment="1">
      <alignment vertical="center"/>
    </xf>
    <xf numFmtId="0" fontId="10" fillId="2" borderId="2" xfId="0" applyFont="1" applyFill="1" applyBorder="1" applyAlignment="1" applyProtection="1">
      <alignment horizontal="left" vertical="center" wrapText="1"/>
      <protection locked="0"/>
    </xf>
    <xf numFmtId="14" fontId="10" fillId="11" borderId="7" xfId="0" applyNumberFormat="1" applyFont="1" applyFill="1" applyBorder="1" applyAlignment="1" applyProtection="1">
      <alignment horizontal="center" vertical="center"/>
      <protection hidden="1"/>
    </xf>
    <xf numFmtId="0" fontId="37" fillId="11" borderId="7" xfId="0" applyFont="1" applyFill="1" applyBorder="1" applyAlignment="1" applyProtection="1">
      <alignment horizontal="center" vertical="center"/>
      <protection hidden="1"/>
    </xf>
    <xf numFmtId="0" fontId="10" fillId="11" borderId="0" xfId="0" applyFont="1" applyFill="1" applyAlignment="1" applyProtection="1">
      <alignment horizontal="center" vertical="center"/>
      <protection hidden="1"/>
    </xf>
    <xf numFmtId="0" fontId="0" fillId="0" borderId="7" xfId="8" applyFont="1" applyBorder="1" applyAlignment="1">
      <alignment vertical="center"/>
    </xf>
    <xf numFmtId="0" fontId="3" fillId="0" borderId="7" xfId="8" applyFont="1" applyBorder="1" applyAlignment="1">
      <alignment vertical="center"/>
    </xf>
    <xf numFmtId="0" fontId="31" fillId="0" borderId="52" xfId="9" applyFont="1" applyBorder="1" applyAlignment="1">
      <alignment horizontal="center" vertical="center"/>
    </xf>
    <xf numFmtId="0" fontId="31" fillId="0" borderId="53" xfId="9" applyFont="1" applyBorder="1" applyAlignment="1">
      <alignment horizontal="center" vertical="center"/>
    </xf>
    <xf numFmtId="0" fontId="31" fillId="0" borderId="7" xfId="9" applyFont="1" applyBorder="1" applyAlignment="1">
      <alignment horizontal="center" vertical="center"/>
    </xf>
    <xf numFmtId="9" fontId="10" fillId="0" borderId="0" xfId="10" applyNumberFormat="1" applyFont="1">
      <alignment vertical="center"/>
    </xf>
    <xf numFmtId="0" fontId="47" fillId="0" borderId="9" xfId="0" applyFont="1" applyBorder="1" applyAlignment="1">
      <alignment horizontal="right" vertical="center"/>
    </xf>
    <xf numFmtId="0" fontId="3" fillId="0" borderId="1" xfId="0" applyFont="1" applyBorder="1" applyAlignment="1">
      <alignment horizontal="center" vertical="center"/>
    </xf>
    <xf numFmtId="0" fontId="41" fillId="0" borderId="0" xfId="0" applyFont="1" applyAlignment="1" applyProtection="1">
      <alignment vertical="center"/>
      <protection hidden="1"/>
    </xf>
    <xf numFmtId="0" fontId="3" fillId="0" borderId="0" xfId="0" applyFont="1" applyAlignment="1">
      <alignment vertical="center" wrapText="1"/>
    </xf>
    <xf numFmtId="186" fontId="3" fillId="0" borderId="0" xfId="0" applyNumberFormat="1" applyFont="1" applyAlignment="1">
      <alignment horizontal="centerContinuous" vertical="center"/>
    </xf>
    <xf numFmtId="0" fontId="7" fillId="0" borderId="0" xfId="0" applyFont="1" applyAlignment="1">
      <alignment horizontal="left" vertical="center"/>
    </xf>
    <xf numFmtId="183" fontId="7" fillId="2" borderId="0" xfId="2" applyNumberFormat="1" applyFont="1" applyFill="1" applyAlignment="1" applyProtection="1">
      <alignment vertical="center"/>
      <protection locked="0"/>
    </xf>
    <xf numFmtId="0" fontId="0" fillId="0" borderId="0" xfId="0" applyAlignment="1">
      <alignment horizontal="left" vertical="center"/>
    </xf>
    <xf numFmtId="186" fontId="7" fillId="0" borderId="0" xfId="0" applyNumberFormat="1" applyFont="1" applyAlignment="1">
      <alignment horizontal="centerContinuous" vertical="center"/>
    </xf>
    <xf numFmtId="38" fontId="7" fillId="0" borderId="0" xfId="2" applyFont="1" applyAlignment="1">
      <alignment horizontal="left" vertical="center"/>
    </xf>
    <xf numFmtId="38" fontId="7" fillId="2" borderId="0" xfId="2" applyFont="1" applyFill="1" applyAlignment="1" applyProtection="1">
      <alignment vertical="center"/>
      <protection locked="0"/>
    </xf>
    <xf numFmtId="0" fontId="0" fillId="0" borderId="7" xfId="0" applyBorder="1" applyAlignment="1">
      <alignment vertical="center"/>
    </xf>
    <xf numFmtId="0" fontId="0" fillId="0" borderId="8" xfId="0" applyBorder="1" applyAlignment="1">
      <alignment horizontal="centerContinuous" vertical="center"/>
    </xf>
    <xf numFmtId="0" fontId="0" fillId="0" borderId="1" xfId="0" applyBorder="1" applyAlignment="1">
      <alignment horizontal="centerContinuous" vertical="center"/>
    </xf>
    <xf numFmtId="0" fontId="3" fillId="0" borderId="8" xfId="0" applyFont="1" applyBorder="1" applyAlignment="1" applyProtection="1">
      <alignment vertical="center"/>
      <protection hidden="1"/>
    </xf>
    <xf numFmtId="0" fontId="3" fillId="0" borderId="1" xfId="0" applyFont="1" applyBorder="1" applyAlignment="1">
      <alignment horizontal="centerContinuous" vertical="center"/>
    </xf>
    <xf numFmtId="0" fontId="10" fillId="12" borderId="7" xfId="0" applyFont="1" applyFill="1" applyBorder="1" applyAlignment="1">
      <alignment horizontal="center" vertical="center"/>
    </xf>
    <xf numFmtId="0" fontId="10" fillId="12" borderId="2" xfId="0" applyFont="1" applyFill="1" applyBorder="1" applyAlignment="1">
      <alignment vertical="center"/>
    </xf>
    <xf numFmtId="0" fontId="10" fillId="12" borderId="1" xfId="0" applyFont="1" applyFill="1" applyBorder="1" applyAlignment="1">
      <alignment vertical="center"/>
    </xf>
    <xf numFmtId="0" fontId="10" fillId="12" borderId="8" xfId="0" applyFont="1" applyFill="1" applyBorder="1" applyAlignment="1">
      <alignment vertical="center"/>
    </xf>
    <xf numFmtId="0" fontId="10" fillId="12" borderId="4" xfId="0" applyFont="1" applyFill="1" applyBorder="1" applyAlignment="1">
      <alignment vertical="center"/>
    </xf>
    <xf numFmtId="0" fontId="10" fillId="12" borderId="5" xfId="0" applyFont="1" applyFill="1" applyBorder="1" applyAlignment="1">
      <alignment vertical="center"/>
    </xf>
    <xf numFmtId="38" fontId="3" fillId="2" borderId="5" xfId="2" applyFill="1" applyBorder="1" applyAlignment="1" applyProtection="1">
      <alignment vertical="center"/>
      <protection locked="0"/>
    </xf>
    <xf numFmtId="0" fontId="10" fillId="12" borderId="0" xfId="0" applyFont="1" applyFill="1" applyAlignment="1">
      <alignment vertical="center"/>
    </xf>
    <xf numFmtId="0" fontId="10" fillId="12" borderId="42" xfId="0" applyFont="1" applyFill="1" applyBorder="1" applyAlignment="1">
      <alignment horizontal="centerContinuous" vertical="center"/>
    </xf>
    <xf numFmtId="0" fontId="10" fillId="12" borderId="19" xfId="0" applyFont="1" applyFill="1" applyBorder="1" applyAlignment="1">
      <alignment horizontal="centerContinuous" vertical="center"/>
    </xf>
    <xf numFmtId="0" fontId="10" fillId="12" borderId="11" xfId="0" applyFont="1" applyFill="1" applyBorder="1" applyAlignment="1">
      <alignment horizontal="centerContinuous" vertical="center"/>
    </xf>
    <xf numFmtId="38" fontId="10" fillId="2" borderId="49" xfId="2" applyFont="1" applyFill="1" applyBorder="1" applyAlignment="1" applyProtection="1">
      <alignment vertical="center"/>
      <protection locked="0"/>
    </xf>
    <xf numFmtId="0" fontId="0" fillId="0" borderId="7" xfId="0" applyBorder="1" applyAlignment="1">
      <alignment horizontal="center" vertical="center"/>
    </xf>
    <xf numFmtId="0" fontId="10" fillId="0" borderId="0" xfId="9" applyAlignment="1">
      <alignment horizontal="right" vertical="center"/>
    </xf>
    <xf numFmtId="38" fontId="7" fillId="13" borderId="34" xfId="2" applyFont="1" applyFill="1" applyBorder="1" applyAlignment="1" applyProtection="1">
      <alignment vertical="center"/>
      <protection hidden="1"/>
    </xf>
    <xf numFmtId="184" fontId="7" fillId="13" borderId="62" xfId="1" applyNumberFormat="1" applyFont="1" applyFill="1" applyBorder="1" applyAlignment="1" applyProtection="1">
      <alignment vertical="center"/>
      <protection hidden="1"/>
    </xf>
    <xf numFmtId="38" fontId="7" fillId="13" borderId="63" xfId="2" applyFont="1" applyFill="1" applyBorder="1" applyAlignment="1" applyProtection="1">
      <alignment vertical="center"/>
      <protection hidden="1"/>
    </xf>
    <xf numFmtId="38" fontId="7" fillId="13" borderId="62" xfId="2" applyFont="1" applyFill="1" applyBorder="1" applyAlignment="1" applyProtection="1">
      <alignment vertical="center"/>
      <protection hidden="1"/>
    </xf>
    <xf numFmtId="0" fontId="21" fillId="13" borderId="7" xfId="10" applyFont="1" applyFill="1" applyBorder="1" applyAlignment="1" applyProtection="1">
      <alignment horizontal="center" vertical="center"/>
      <protection hidden="1"/>
    </xf>
    <xf numFmtId="0" fontId="10" fillId="13" borderId="51" xfId="10" applyFont="1" applyFill="1" applyBorder="1" applyAlignment="1" applyProtection="1">
      <alignment horizontal="left" vertical="center" wrapText="1"/>
      <protection locked="0"/>
    </xf>
    <xf numFmtId="49" fontId="48" fillId="0" borderId="2" xfId="0" applyNumberFormat="1" applyFont="1" applyBorder="1" applyAlignment="1" applyProtection="1">
      <alignment vertical="center"/>
      <protection hidden="1"/>
    </xf>
    <xf numFmtId="0" fontId="48" fillId="0" borderId="2" xfId="0" applyFont="1" applyBorder="1" applyAlignment="1">
      <alignment vertical="center"/>
    </xf>
    <xf numFmtId="0" fontId="48" fillId="0" borderId="1" xfId="0" applyFont="1" applyBorder="1" applyAlignment="1" applyProtection="1">
      <alignment vertical="center"/>
      <protection hidden="1"/>
    </xf>
    <xf numFmtId="178" fontId="48" fillId="0" borderId="8" xfId="0" applyNumberFormat="1" applyFont="1" applyBorder="1" applyAlignment="1">
      <alignment horizontal="center" vertical="center" wrapText="1"/>
    </xf>
    <xf numFmtId="0" fontId="48" fillId="0" borderId="1" xfId="0" applyFont="1" applyBorder="1" applyAlignment="1">
      <alignment vertical="center"/>
    </xf>
    <xf numFmtId="0" fontId="48" fillId="0" borderId="10" xfId="0" applyFont="1" applyBorder="1" applyAlignment="1">
      <alignment vertical="center"/>
    </xf>
    <xf numFmtId="0" fontId="48" fillId="0" borderId="22" xfId="0" applyFont="1" applyBorder="1" applyAlignment="1" applyProtection="1">
      <alignment vertical="center"/>
      <protection hidden="1"/>
    </xf>
    <xf numFmtId="178" fontId="48" fillId="0" borderId="51" xfId="0" applyNumberFormat="1" applyFont="1" applyBorder="1" applyAlignment="1">
      <alignment horizontal="center" vertical="center" wrapText="1"/>
    </xf>
    <xf numFmtId="0" fontId="3" fillId="10" borderId="0" xfId="0" applyFont="1" applyFill="1" applyAlignment="1">
      <alignment vertical="center"/>
    </xf>
    <xf numFmtId="0" fontId="0" fillId="0" borderId="17" xfId="0" applyBorder="1" applyAlignment="1">
      <alignment vertical="center"/>
    </xf>
    <xf numFmtId="0" fontId="7" fillId="0" borderId="17" xfId="0" applyFont="1" applyBorder="1" applyAlignment="1">
      <alignment horizontal="center" vertical="center"/>
    </xf>
    <xf numFmtId="0" fontId="16" fillId="0" borderId="17" xfId="0" applyFont="1" applyBorder="1" applyAlignment="1" applyProtection="1">
      <alignment horizontal="center" vertical="center"/>
      <protection hidden="1"/>
    </xf>
    <xf numFmtId="38" fontId="3" fillId="8" borderId="1" xfId="2" applyFill="1" applyBorder="1" applyAlignment="1" applyProtection="1">
      <alignment horizontal="center" vertical="center"/>
      <protection locked="0"/>
    </xf>
    <xf numFmtId="38" fontId="0" fillId="8" borderId="1" xfId="2" applyFont="1" applyFill="1" applyBorder="1" applyAlignment="1" applyProtection="1">
      <alignment horizontal="center" vertical="center"/>
      <protection locked="0"/>
    </xf>
    <xf numFmtId="38" fontId="3" fillId="8" borderId="5" xfId="2" applyFill="1" applyBorder="1" applyAlignment="1" applyProtection="1">
      <alignment horizontal="center" vertical="center"/>
      <protection locked="0"/>
    </xf>
    <xf numFmtId="38" fontId="3" fillId="8" borderId="20" xfId="2" applyFill="1" applyBorder="1" applyAlignment="1" applyProtection="1">
      <alignment horizontal="center" vertical="center"/>
      <protection locked="0"/>
    </xf>
    <xf numFmtId="38" fontId="3" fillId="8" borderId="20" xfId="2" applyFill="1" applyBorder="1" applyAlignment="1">
      <alignment horizontal="center" vertical="center"/>
    </xf>
    <xf numFmtId="38" fontId="3" fillId="8" borderId="24" xfId="2" applyFill="1" applyBorder="1" applyAlignment="1">
      <alignment horizontal="center" vertical="center"/>
    </xf>
    <xf numFmtId="38" fontId="3" fillId="8" borderId="31" xfId="2" applyFill="1" applyBorder="1" applyAlignment="1" applyProtection="1">
      <alignment horizontal="center" vertical="center"/>
      <protection locked="0"/>
    </xf>
    <xf numFmtId="38" fontId="3" fillId="8" borderId="51" xfId="2" applyFill="1" applyBorder="1" applyAlignment="1" applyProtection="1">
      <alignment horizontal="center" vertical="center"/>
      <protection hidden="1"/>
    </xf>
    <xf numFmtId="0" fontId="3" fillId="13" borderId="0" xfId="0" applyFont="1" applyFill="1" applyAlignment="1">
      <alignment vertical="center"/>
    </xf>
    <xf numFmtId="0" fontId="3" fillId="14" borderId="0" xfId="0" applyFont="1" applyFill="1" applyAlignment="1">
      <alignment vertical="center"/>
    </xf>
    <xf numFmtId="0" fontId="48" fillId="0" borderId="0" xfId="0" applyFont="1" applyAlignment="1">
      <alignment vertical="center"/>
    </xf>
    <xf numFmtId="187" fontId="39" fillId="0" borderId="51" xfId="1" applyNumberFormat="1" applyFont="1" applyBorder="1" applyAlignment="1">
      <alignment horizontal="left" vertical="center" wrapText="1"/>
    </xf>
    <xf numFmtId="0" fontId="48" fillId="0" borderId="22" xfId="0" applyFont="1" applyBorder="1" applyAlignment="1">
      <alignment vertical="center"/>
    </xf>
    <xf numFmtId="178" fontId="48" fillId="0" borderId="61" xfId="0" applyNumberFormat="1" applyFont="1" applyBorder="1" applyAlignment="1">
      <alignment horizontal="center" vertical="center" wrapText="1"/>
    </xf>
    <xf numFmtId="182" fontId="7" fillId="3" borderId="53" xfId="0" applyNumberFormat="1" applyFont="1" applyFill="1" applyBorder="1" applyAlignment="1">
      <alignment vertical="center" shrinkToFit="1"/>
    </xf>
    <xf numFmtId="0" fontId="22"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34" fillId="0" borderId="0" xfId="0" applyFont="1" applyAlignment="1" applyProtection="1">
      <alignment vertical="center"/>
      <protection hidden="1"/>
    </xf>
    <xf numFmtId="0" fontId="0" fillId="0" borderId="0" xfId="0" applyAlignment="1" applyProtection="1">
      <alignment vertical="center" wrapText="1"/>
      <protection hidden="1"/>
    </xf>
    <xf numFmtId="0" fontId="10" fillId="0" borderId="7" xfId="0" applyFont="1" applyBorder="1" applyAlignment="1" applyProtection="1">
      <alignment horizontal="center" vertical="center"/>
      <protection hidden="1"/>
    </xf>
    <xf numFmtId="0" fontId="22" fillId="0" borderId="7" xfId="0" applyFont="1" applyBorder="1" applyAlignment="1" applyProtection="1">
      <alignment horizontal="center" vertical="center"/>
      <protection hidden="1"/>
    </xf>
    <xf numFmtId="38" fontId="10" fillId="0" borderId="0" xfId="0" applyNumberFormat="1" applyFont="1" applyAlignment="1" applyProtection="1">
      <alignment vertical="center"/>
      <protection hidden="1"/>
    </xf>
    <xf numFmtId="0" fontId="22" fillId="0" borderId="7" xfId="10" applyFont="1" applyBorder="1" applyAlignment="1" applyProtection="1">
      <alignment horizontal="center" vertical="center"/>
      <protection hidden="1"/>
    </xf>
    <xf numFmtId="0" fontId="15" fillId="0" borderId="7" xfId="0" applyFont="1" applyBorder="1" applyAlignment="1" applyProtection="1">
      <alignment vertical="center" wrapText="1"/>
      <protection hidden="1"/>
    </xf>
    <xf numFmtId="0" fontId="10" fillId="2" borderId="24" xfId="10" applyFont="1" applyFill="1" applyBorder="1" applyAlignment="1" applyProtection="1">
      <alignment vertical="center" wrapText="1"/>
      <protection locked="0"/>
    </xf>
    <xf numFmtId="0" fontId="10" fillId="0" borderId="7" xfId="0" applyFont="1" applyBorder="1" applyAlignment="1" applyProtection="1">
      <alignment vertical="center" wrapText="1"/>
      <protection hidden="1"/>
    </xf>
    <xf numFmtId="0" fontId="10" fillId="0" borderId="46" xfId="0" applyFont="1" applyBorder="1" applyAlignment="1" applyProtection="1">
      <alignment vertical="center" wrapText="1"/>
      <protection hidden="1"/>
    </xf>
    <xf numFmtId="0" fontId="10" fillId="2" borderId="1" xfId="10" applyFont="1" applyFill="1" applyBorder="1" applyAlignment="1" applyProtection="1">
      <alignment vertical="center" wrapText="1"/>
      <protection locked="0"/>
    </xf>
    <xf numFmtId="0" fontId="49" fillId="0" borderId="0" xfId="0" applyFont="1" applyAlignment="1" applyProtection="1">
      <alignment horizontal="left" vertical="center"/>
      <protection hidden="1"/>
    </xf>
    <xf numFmtId="38" fontId="10" fillId="0" borderId="0" xfId="2" applyFont="1" applyAlignment="1" applyProtection="1">
      <alignment vertical="center"/>
      <protection hidden="1"/>
    </xf>
    <xf numFmtId="38" fontId="10" fillId="0" borderId="0" xfId="2" applyFont="1" applyAlignment="1">
      <alignment horizontal="right" vertical="center" wrapText="1"/>
    </xf>
    <xf numFmtId="0" fontId="22" fillId="0" borderId="0" xfId="10" applyFont="1" applyAlignment="1" applyProtection="1">
      <alignment horizontal="center" vertical="center"/>
      <protection hidden="1"/>
    </xf>
    <xf numFmtId="0" fontId="22" fillId="0" borderId="0" xfId="10" applyFont="1" applyProtection="1">
      <alignment vertical="center"/>
      <protection hidden="1"/>
    </xf>
    <xf numFmtId="0" fontId="22" fillId="0" borderId="0" xfId="10" applyFont="1" applyAlignment="1" applyProtection="1">
      <alignment vertical="center" wrapText="1"/>
      <protection hidden="1"/>
    </xf>
    <xf numFmtId="0" fontId="22" fillId="0" borderId="0" xfId="10" applyFont="1" applyAlignment="1">
      <alignment vertical="center" wrapText="1"/>
    </xf>
    <xf numFmtId="0" fontId="34" fillId="0" borderId="0" xfId="10" applyFont="1" applyAlignment="1">
      <alignment horizontal="left" vertical="center"/>
    </xf>
    <xf numFmtId="49" fontId="10" fillId="0" borderId="0" xfId="0" applyNumberFormat="1" applyFont="1" applyAlignment="1" applyProtection="1">
      <alignment horizontal="left" vertical="center"/>
      <protection hidden="1"/>
    </xf>
    <xf numFmtId="49" fontId="10"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10" fillId="13" borderId="0" xfId="0" applyFont="1" applyFill="1" applyAlignment="1" applyProtection="1">
      <alignment vertical="center"/>
      <protection hidden="1"/>
    </xf>
    <xf numFmtId="0" fontId="3" fillId="0" borderId="0" xfId="13">
      <alignment vertical="center"/>
    </xf>
    <xf numFmtId="0" fontId="10" fillId="0" borderId="0" xfId="0" applyFont="1" applyAlignment="1">
      <alignment vertical="center" wrapText="1"/>
    </xf>
    <xf numFmtId="0" fontId="0" fillId="0" borderId="0" xfId="0" applyAlignment="1">
      <alignment horizontal="right" vertical="center"/>
    </xf>
    <xf numFmtId="38" fontId="0" fillId="0" borderId="0" xfId="0" applyNumberFormat="1" applyAlignment="1">
      <alignment vertical="center" wrapText="1"/>
    </xf>
    <xf numFmtId="0" fontId="17" fillId="0" borderId="46" xfId="0" applyFont="1" applyBorder="1" applyAlignment="1">
      <alignment horizontal="center" vertical="center"/>
    </xf>
    <xf numFmtId="0" fontId="0" fillId="0" borderId="46" xfId="0" applyBorder="1" applyAlignment="1">
      <alignment vertical="center"/>
    </xf>
    <xf numFmtId="0" fontId="0" fillId="10" borderId="0" xfId="0" applyFill="1" applyAlignment="1">
      <alignment vertical="center"/>
    </xf>
    <xf numFmtId="0" fontId="3" fillId="10" borderId="7" xfId="0" applyFont="1" applyFill="1" applyBorder="1" applyAlignment="1">
      <alignment vertical="center"/>
    </xf>
    <xf numFmtId="0" fontId="16" fillId="0" borderId="7" xfId="0" applyFont="1" applyBorder="1" applyAlignment="1" applyProtection="1">
      <alignment horizontal="center" vertical="center"/>
      <protection hidden="1"/>
    </xf>
    <xf numFmtId="0" fontId="0" fillId="0" borderId="7" xfId="0" applyBorder="1"/>
    <xf numFmtId="0" fontId="0" fillId="10" borderId="59" xfId="0" applyFill="1" applyBorder="1" applyAlignment="1">
      <alignment vertical="center"/>
    </xf>
    <xf numFmtId="0" fontId="3" fillId="10" borderId="59" xfId="0" applyFont="1" applyFill="1" applyBorder="1" applyAlignment="1">
      <alignment vertical="center"/>
    </xf>
    <xf numFmtId="0" fontId="16" fillId="0" borderId="59" xfId="0" applyFont="1" applyBorder="1" applyAlignment="1" applyProtection="1">
      <alignment horizontal="center" vertical="center"/>
      <protection hidden="1"/>
    </xf>
    <xf numFmtId="0" fontId="0" fillId="0" borderId="59" xfId="0" applyBorder="1"/>
    <xf numFmtId="0" fontId="0" fillId="0" borderId="0" xfId="0" applyAlignment="1" applyProtection="1">
      <alignment horizontal="center" vertical="center"/>
      <protection locked="0"/>
    </xf>
    <xf numFmtId="0" fontId="3" fillId="0" borderId="0" xfId="0" quotePrefix="1" applyFont="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23" fillId="0" borderId="79" xfId="0" applyFont="1" applyBorder="1" applyAlignment="1" applyProtection="1">
      <alignment vertical="center"/>
      <protection hidden="1"/>
    </xf>
    <xf numFmtId="49" fontId="0" fillId="2" borderId="1"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178" fontId="3" fillId="2" borderId="25" xfId="8" applyNumberFormat="1" applyFont="1" applyFill="1" applyBorder="1" applyAlignment="1" applyProtection="1">
      <alignment vertical="center"/>
      <protection locked="0"/>
    </xf>
    <xf numFmtId="178" fontId="3" fillId="2" borderId="27" xfId="8" applyNumberFormat="1" applyFont="1" applyFill="1" applyBorder="1" applyAlignment="1" applyProtection="1">
      <alignment vertical="center"/>
      <protection locked="0"/>
    </xf>
    <xf numFmtId="0" fontId="10" fillId="0" borderId="39" xfId="0" applyFont="1" applyBorder="1" applyAlignment="1">
      <alignment vertical="center" shrinkToFit="1"/>
    </xf>
    <xf numFmtId="0" fontId="10" fillId="0" borderId="70" xfId="0" applyFont="1" applyBorder="1" applyAlignment="1">
      <alignment vertical="center" shrinkToFit="1"/>
    </xf>
    <xf numFmtId="0" fontId="21" fillId="0" borderId="0" xfId="13" applyFont="1">
      <alignment vertical="center"/>
    </xf>
    <xf numFmtId="38" fontId="3" fillId="0" borderId="34" xfId="2" applyBorder="1" applyAlignment="1" applyProtection="1">
      <alignment vertical="center"/>
      <protection hidden="1"/>
    </xf>
    <xf numFmtId="0" fontId="10" fillId="0" borderId="45" xfId="8" applyFont="1" applyBorder="1" applyAlignment="1">
      <alignment horizontal="right" vertical="center"/>
    </xf>
    <xf numFmtId="49" fontId="0" fillId="0" borderId="8" xfId="0" applyNumberFormat="1" applyBorder="1" applyAlignment="1">
      <alignment horizontal="center" vertical="center"/>
    </xf>
    <xf numFmtId="3" fontId="10" fillId="9" borderId="16" xfId="0" applyNumberFormat="1" applyFont="1" applyFill="1" applyBorder="1" applyAlignment="1" applyProtection="1">
      <alignment vertical="center"/>
      <protection locked="0"/>
    </xf>
    <xf numFmtId="0" fontId="3" fillId="0" borderId="20" xfId="0" applyFont="1" applyBorder="1" applyAlignment="1">
      <alignment vertical="center"/>
    </xf>
    <xf numFmtId="0" fontId="10" fillId="0" borderId="70" xfId="8" applyFont="1" applyBorder="1" applyAlignment="1" applyProtection="1">
      <alignment vertical="center"/>
      <protection hidden="1"/>
    </xf>
    <xf numFmtId="0" fontId="15" fillId="0" borderId="47" xfId="8" applyFont="1" applyBorder="1" applyAlignment="1" applyProtection="1">
      <alignment horizontal="center" vertical="center"/>
      <protection hidden="1"/>
    </xf>
    <xf numFmtId="0" fontId="10" fillId="0" borderId="44" xfId="8" applyFont="1" applyBorder="1" applyAlignment="1">
      <alignment vertical="center"/>
    </xf>
    <xf numFmtId="0" fontId="10" fillId="0" borderId="20" xfId="0" applyFont="1" applyBorder="1" applyAlignment="1">
      <alignment horizontal="right" vertical="center"/>
    </xf>
    <xf numFmtId="178" fontId="10" fillId="2" borderId="47" xfId="8" applyNumberFormat="1" applyFont="1" applyFill="1" applyBorder="1" applyAlignment="1" applyProtection="1">
      <alignment vertical="center"/>
      <protection locked="0"/>
    </xf>
    <xf numFmtId="0" fontId="3" fillId="0" borderId="71" xfId="8" applyFont="1" applyBorder="1" applyAlignment="1">
      <alignment horizontal="right" vertical="center"/>
    </xf>
    <xf numFmtId="0" fontId="51" fillId="0" borderId="0" xfId="8" applyFont="1" applyAlignment="1">
      <alignment vertical="center"/>
    </xf>
    <xf numFmtId="0" fontId="10" fillId="2" borderId="47" xfId="8" applyFont="1" applyFill="1" applyBorder="1" applyAlignment="1" applyProtection="1">
      <alignment horizontal="center" vertical="center"/>
      <protection locked="0"/>
    </xf>
    <xf numFmtId="0" fontId="10" fillId="2" borderId="28" xfId="8" applyFont="1" applyFill="1" applyBorder="1" applyAlignment="1" applyProtection="1">
      <alignment horizontal="center" vertical="center"/>
      <protection locked="0"/>
    </xf>
    <xf numFmtId="0" fontId="3" fillId="0" borderId="21" xfId="8" applyFont="1" applyBorder="1" applyAlignment="1">
      <alignment horizontal="right" vertical="center"/>
    </xf>
    <xf numFmtId="0" fontId="3" fillId="15" borderId="0" xfId="8" applyFont="1" applyFill="1" applyAlignment="1">
      <alignment vertical="center"/>
    </xf>
    <xf numFmtId="0" fontId="7" fillId="0" borderId="0" xfId="0" applyFont="1" applyAlignment="1">
      <alignment vertical="center" wrapText="1"/>
    </xf>
    <xf numFmtId="0" fontId="15" fillId="0" borderId="0" xfId="0" applyFont="1" applyAlignment="1">
      <alignment vertical="center" wrapText="1"/>
    </xf>
    <xf numFmtId="0" fontId="7" fillId="0" borderId="5" xfId="0" applyFont="1" applyBorder="1" applyAlignment="1">
      <alignment horizontal="center" vertical="center"/>
    </xf>
    <xf numFmtId="0" fontId="0" fillId="0" borderId="8" xfId="0" applyBorder="1" applyAlignment="1">
      <alignment vertical="center"/>
    </xf>
    <xf numFmtId="0" fontId="0" fillId="0" borderId="2" xfId="0" applyBorder="1" applyAlignment="1">
      <alignment vertical="center" wrapText="1"/>
    </xf>
    <xf numFmtId="49" fontId="10" fillId="0" borderId="0" xfId="0" applyNumberFormat="1" applyFont="1" applyAlignment="1" applyProtection="1">
      <alignment horizontal="left" vertical="center" wrapText="1"/>
      <protection locked="0"/>
    </xf>
    <xf numFmtId="0" fontId="0" fillId="0" borderId="8" xfId="0"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vertical="center" wrapText="1"/>
    </xf>
    <xf numFmtId="0" fontId="28" fillId="0" borderId="44" xfId="0" applyFont="1" applyBorder="1" applyAlignment="1">
      <alignment horizontal="center" vertical="center"/>
    </xf>
    <xf numFmtId="0" fontId="10" fillId="0" borderId="0" xfId="0" applyFont="1" applyAlignment="1">
      <alignment horizontal="left" vertical="center"/>
    </xf>
    <xf numFmtId="38" fontId="10" fillId="0" borderId="0" xfId="0" applyNumberFormat="1" applyFont="1" applyAlignment="1">
      <alignment horizontal="left" vertical="center"/>
    </xf>
    <xf numFmtId="185" fontId="10" fillId="0" borderId="0" xfId="0" applyNumberFormat="1" applyFont="1" applyAlignment="1">
      <alignment horizontal="left" vertical="center"/>
    </xf>
    <xf numFmtId="38" fontId="54" fillId="0" borderId="80" xfId="14" applyFont="1" applyBorder="1" applyAlignment="1">
      <alignment horizontal="center"/>
    </xf>
    <xf numFmtId="38" fontId="54" fillId="0" borderId="81" xfId="14" applyFont="1" applyBorder="1" applyAlignment="1">
      <alignment horizontal="center"/>
    </xf>
    <xf numFmtId="191" fontId="54" fillId="0" borderId="81" xfId="14" applyNumberFormat="1" applyFont="1" applyBorder="1" applyAlignment="1">
      <alignment horizontal="center"/>
    </xf>
    <xf numFmtId="195" fontId="54" fillId="0" borderId="82" xfId="14" applyNumberFormat="1" applyFont="1" applyBorder="1" applyAlignment="1">
      <alignment horizontal="center"/>
    </xf>
    <xf numFmtId="191" fontId="54" fillId="0" borderId="81" xfId="14" applyNumberFormat="1" applyFont="1" applyBorder="1" applyAlignment="1">
      <alignment horizontal="centerContinuous"/>
    </xf>
    <xf numFmtId="191" fontId="54" fillId="0" borderId="83" xfId="14" applyNumberFormat="1" applyFont="1" applyBorder="1" applyAlignment="1">
      <alignment horizontal="centerContinuous"/>
    </xf>
    <xf numFmtId="0" fontId="55" fillId="0" borderId="84" xfId="17" applyFont="1" applyBorder="1" applyAlignment="1">
      <alignment horizontal="centerContinuous" vertical="center"/>
    </xf>
    <xf numFmtId="0" fontId="55" fillId="0" borderId="80" xfId="17" applyFont="1" applyBorder="1" applyAlignment="1">
      <alignment horizontal="centerContinuous" vertical="center"/>
    </xf>
    <xf numFmtId="0" fontId="55" fillId="0" borderId="81" xfId="17" applyFont="1" applyBorder="1" applyAlignment="1">
      <alignment horizontal="centerContinuous" vertical="center"/>
    </xf>
    <xf numFmtId="0" fontId="55" fillId="0" borderId="82" xfId="17" applyFont="1" applyBorder="1" applyAlignment="1">
      <alignment horizontal="centerContinuous" vertical="center"/>
    </xf>
    <xf numFmtId="38" fontId="54" fillId="0" borderId="85" xfId="14" applyFont="1" applyBorder="1" applyAlignment="1">
      <alignment horizontal="center"/>
    </xf>
    <xf numFmtId="38" fontId="54" fillId="0" borderId="86" xfId="14" applyFont="1" applyBorder="1" applyAlignment="1">
      <alignment horizontal="center"/>
    </xf>
    <xf numFmtId="191" fontId="54" fillId="0" borderId="86" xfId="14" applyNumberFormat="1" applyFont="1" applyBorder="1" applyAlignment="1">
      <alignment horizontal="center"/>
    </xf>
    <xf numFmtId="195" fontId="54" fillId="0" borderId="87" xfId="14" applyNumberFormat="1" applyFont="1" applyBorder="1" applyAlignment="1">
      <alignment horizontal="center"/>
    </xf>
    <xf numFmtId="191" fontId="54" fillId="0" borderId="85" xfId="14" applyNumberFormat="1" applyFont="1" applyBorder="1" applyAlignment="1">
      <alignment horizontal="center" shrinkToFit="1"/>
    </xf>
    <xf numFmtId="191" fontId="54" fillId="0" borderId="86" xfId="14" applyNumberFormat="1" applyFont="1" applyBorder="1" applyAlignment="1">
      <alignment horizontal="center" shrinkToFit="1"/>
    </xf>
    <xf numFmtId="191" fontId="54" fillId="0" borderId="88" xfId="14" applyNumberFormat="1" applyFont="1" applyBorder="1" applyAlignment="1">
      <alignment horizontal="centerContinuous"/>
    </xf>
    <xf numFmtId="191" fontId="54" fillId="0" borderId="89" xfId="14" applyNumberFormat="1" applyFont="1" applyBorder="1" applyAlignment="1">
      <alignment horizontal="centerContinuous"/>
    </xf>
    <xf numFmtId="191" fontId="54" fillId="0" borderId="90" xfId="14" applyNumberFormat="1" applyFont="1" applyBorder="1" applyAlignment="1">
      <alignment horizontal="centerContinuous"/>
    </xf>
    <xf numFmtId="191" fontId="54" fillId="0" borderId="91" xfId="14" applyNumberFormat="1" applyFont="1" applyBorder="1" applyAlignment="1">
      <alignment horizontal="centerContinuous"/>
    </xf>
    <xf numFmtId="191" fontId="54" fillId="0" borderId="92" xfId="14" applyNumberFormat="1" applyFont="1" applyBorder="1" applyAlignment="1">
      <alignment horizontal="centerContinuous" shrinkToFit="1"/>
    </xf>
    <xf numFmtId="0" fontId="17" fillId="0" borderId="3" xfId="0" applyFont="1" applyBorder="1" applyAlignment="1">
      <alignment horizontal="center" vertical="center"/>
    </xf>
    <xf numFmtId="0" fontId="17" fillId="0" borderId="0" xfId="0" applyFont="1" applyAlignment="1">
      <alignment horizontal="center" vertical="center"/>
    </xf>
    <xf numFmtId="38" fontId="54" fillId="0" borderId="93" xfId="14" applyFont="1" applyBorder="1" applyAlignment="1">
      <alignment horizontal="center"/>
    </xf>
    <xf numFmtId="38" fontId="54" fillId="0" borderId="94" xfId="14" applyFont="1" applyBorder="1" applyAlignment="1">
      <alignment horizontal="center"/>
    </xf>
    <xf numFmtId="38" fontId="54" fillId="0" borderId="95" xfId="14" applyFont="1" applyBorder="1" applyAlignment="1">
      <alignment horizontal="center"/>
    </xf>
    <xf numFmtId="191" fontId="54" fillId="0" borderId="95" xfId="14" applyNumberFormat="1" applyFont="1" applyBorder="1" applyAlignment="1">
      <alignment horizontal="center"/>
    </xf>
    <xf numFmtId="195" fontId="54" fillId="0" borderId="96" xfId="14" applyNumberFormat="1" applyFont="1" applyBorder="1" applyAlignment="1">
      <alignment horizontal="center"/>
    </xf>
    <xf numFmtId="0" fontId="55" fillId="0" borderId="94" xfId="17" applyFont="1" applyBorder="1">
      <alignment vertical="center"/>
    </xf>
    <xf numFmtId="0" fontId="55" fillId="0" borderId="95" xfId="17" applyFont="1" applyBorder="1">
      <alignment vertical="center"/>
    </xf>
    <xf numFmtId="191" fontId="54" fillId="0" borderId="97" xfId="14" applyNumberFormat="1" applyFont="1" applyBorder="1" applyAlignment="1">
      <alignment horizontal="center" shrinkToFit="1"/>
    </xf>
    <xf numFmtId="191" fontId="54" fillId="0" borderId="98" xfId="14" applyNumberFormat="1" applyFont="1" applyBorder="1" applyAlignment="1">
      <alignment horizontal="center" shrinkToFit="1"/>
    </xf>
    <xf numFmtId="191" fontId="54" fillId="0" borderId="99" xfId="14" applyNumberFormat="1" applyFont="1" applyBorder="1" applyAlignment="1">
      <alignment horizontal="center" shrinkToFit="1"/>
    </xf>
    <xf numFmtId="191" fontId="54" fillId="0" borderId="100" xfId="14" applyNumberFormat="1" applyFont="1" applyBorder="1" applyAlignment="1">
      <alignment horizontal="center" shrinkToFit="1"/>
    </xf>
    <xf numFmtId="191" fontId="54" fillId="0" borderId="101" xfId="14" applyNumberFormat="1" applyFont="1" applyBorder="1" applyAlignment="1">
      <alignment horizontal="center" shrinkToFit="1"/>
    </xf>
    <xf numFmtId="0" fontId="57" fillId="0" borderId="102" xfId="18" applyFont="1" applyBorder="1" applyAlignment="1">
      <alignment horizontal="center" wrapText="1"/>
    </xf>
    <xf numFmtId="0" fontId="57" fillId="0" borderId="102" xfId="18" applyFont="1" applyBorder="1" applyAlignment="1">
      <alignment horizontal="left" wrapText="1"/>
    </xf>
    <xf numFmtId="38" fontId="57" fillId="0" borderId="103" xfId="14" applyFont="1" applyBorder="1"/>
    <xf numFmtId="38" fontId="57" fillId="0" borderId="104" xfId="14" applyFont="1" applyBorder="1"/>
    <xf numFmtId="189" fontId="57" fillId="0" borderId="104" xfId="14" applyNumberFormat="1" applyFont="1" applyBorder="1"/>
    <xf numFmtId="190" fontId="57" fillId="0" borderId="105" xfId="14" applyNumberFormat="1" applyFont="1" applyBorder="1"/>
    <xf numFmtId="189" fontId="58" fillId="0" borderId="90" xfId="14" applyNumberFormat="1" applyFont="1" applyBorder="1"/>
    <xf numFmtId="189" fontId="58" fillId="0" borderId="88" xfId="14" applyNumberFormat="1" applyFont="1" applyBorder="1"/>
    <xf numFmtId="196" fontId="58" fillId="0" borderId="90" xfId="14" applyNumberFormat="1" applyFont="1" applyBorder="1"/>
    <xf numFmtId="196" fontId="58" fillId="0" borderId="89" xfId="14" applyNumberFormat="1" applyFont="1" applyBorder="1"/>
    <xf numFmtId="196" fontId="58" fillId="0" borderId="91" xfId="14" applyNumberFormat="1" applyFont="1" applyBorder="1"/>
    <xf numFmtId="178" fontId="3" fillId="3" borderId="7" xfId="0" applyNumberFormat="1" applyFont="1" applyFill="1" applyBorder="1" applyAlignment="1">
      <alignment vertical="center"/>
    </xf>
    <xf numFmtId="0" fontId="57" fillId="0" borderId="106" xfId="18" applyFont="1" applyBorder="1" applyAlignment="1">
      <alignment horizontal="center" wrapText="1"/>
    </xf>
    <xf numFmtId="0" fontId="57" fillId="0" borderId="106" xfId="18" applyFont="1" applyBorder="1" applyAlignment="1">
      <alignment horizontal="left" wrapText="1"/>
    </xf>
    <xf numFmtId="38" fontId="57" fillId="0" borderId="107" xfId="14" applyFont="1" applyBorder="1"/>
    <xf numFmtId="38" fontId="57" fillId="0" borderId="108" xfId="14" applyFont="1" applyBorder="1"/>
    <xf numFmtId="189" fontId="59" fillId="0" borderId="108" xfId="14" applyNumberFormat="1" applyFont="1" applyBorder="1"/>
    <xf numFmtId="190" fontId="59" fillId="0" borderId="109" xfId="14" applyNumberFormat="1" applyFont="1" applyBorder="1"/>
    <xf numFmtId="189" fontId="58" fillId="0" borderId="108" xfId="14" applyNumberFormat="1" applyFont="1" applyBorder="1"/>
    <xf numFmtId="189" fontId="58" fillId="0" borderId="110" xfId="14" applyNumberFormat="1" applyFont="1" applyBorder="1"/>
    <xf numFmtId="196" fontId="58" fillId="0" borderId="108" xfId="14" applyNumberFormat="1" applyFont="1" applyBorder="1"/>
    <xf numFmtId="196" fontId="58" fillId="0" borderId="107" xfId="14" applyNumberFormat="1" applyFont="1" applyBorder="1"/>
    <xf numFmtId="196" fontId="58" fillId="0" borderId="109" xfId="14" applyNumberFormat="1" applyFont="1" applyBorder="1"/>
    <xf numFmtId="178" fontId="3" fillId="0" borderId="4" xfId="0" applyNumberFormat="1" applyFont="1" applyBorder="1" applyAlignment="1">
      <alignment vertical="center"/>
    </xf>
    <xf numFmtId="189" fontId="57" fillId="0" borderId="108" xfId="14" applyNumberFormat="1" applyFont="1" applyBorder="1"/>
    <xf numFmtId="190" fontId="57" fillId="0" borderId="109" xfId="14" applyNumberFormat="1" applyFont="1" applyBorder="1"/>
    <xf numFmtId="0" fontId="0" fillId="0" borderId="111" xfId="0" applyBorder="1" applyAlignment="1">
      <alignment horizontal="center" vertical="center" wrapText="1"/>
    </xf>
    <xf numFmtId="0" fontId="10" fillId="0" borderId="111" xfId="0" applyFont="1" applyBorder="1" applyAlignment="1">
      <alignment horizontal="center" vertical="center" wrapText="1"/>
    </xf>
    <xf numFmtId="0" fontId="0" fillId="0" borderId="111" xfId="0" applyBorder="1" applyAlignment="1">
      <alignment horizontal="center" vertical="center"/>
    </xf>
    <xf numFmtId="0" fontId="10" fillId="0" borderId="0" xfId="0" applyFont="1" applyAlignment="1">
      <alignment horizontal="center" vertical="center" wrapText="1"/>
    </xf>
    <xf numFmtId="0" fontId="0" fillId="0" borderId="17" xfId="0" applyBorder="1" applyAlignment="1">
      <alignment horizontal="center" vertical="center"/>
    </xf>
    <xf numFmtId="0" fontId="0" fillId="0" borderId="78" xfId="0" applyBorder="1" applyAlignment="1">
      <alignment vertical="center"/>
    </xf>
    <xf numFmtId="38" fontId="0" fillId="0" borderId="78" xfId="0" applyNumberFormat="1" applyBorder="1" applyAlignment="1">
      <alignment vertical="center"/>
    </xf>
    <xf numFmtId="0" fontId="0" fillId="0" borderId="112" xfId="0" applyBorder="1" applyAlignment="1">
      <alignment horizontal="center" vertical="center"/>
    </xf>
    <xf numFmtId="0" fontId="59" fillId="0" borderId="106" xfId="18" applyFont="1" applyBorder="1" applyAlignment="1">
      <alignment horizontal="left" wrapText="1"/>
    </xf>
    <xf numFmtId="38" fontId="59" fillId="0" borderId="107" xfId="14" applyFont="1" applyBorder="1"/>
    <xf numFmtId="38" fontId="59" fillId="0" borderId="108" xfId="14" applyFont="1" applyBorder="1"/>
    <xf numFmtId="0" fontId="0" fillId="0" borderId="53" xfId="0" applyBorder="1" applyAlignment="1">
      <alignment vertical="center"/>
    </xf>
    <xf numFmtId="0" fontId="0" fillId="0" borderId="113" xfId="0" applyBorder="1" applyAlignment="1">
      <alignment horizontal="center" vertical="center"/>
    </xf>
    <xf numFmtId="177" fontId="60" fillId="0" borderId="53" xfId="0" applyNumberFormat="1" applyFont="1" applyBorder="1" applyAlignment="1">
      <alignment vertical="center"/>
    </xf>
    <xf numFmtId="197" fontId="60" fillId="0" borderId="53" xfId="0" applyNumberFormat="1" applyFont="1" applyBorder="1" applyAlignment="1">
      <alignment vertical="center"/>
    </xf>
    <xf numFmtId="177" fontId="0" fillId="0" borderId="0" xfId="0" applyNumberFormat="1" applyAlignment="1">
      <alignment vertical="center"/>
    </xf>
    <xf numFmtId="0" fontId="60" fillId="0" borderId="53" xfId="0" applyFont="1" applyBorder="1" applyAlignment="1">
      <alignment vertical="center"/>
    </xf>
    <xf numFmtId="179" fontId="60" fillId="0" borderId="53" xfId="0" applyNumberFormat="1" applyFont="1" applyBorder="1" applyAlignment="1">
      <alignment vertical="center"/>
    </xf>
    <xf numFmtId="179" fontId="0" fillId="0" borderId="0" xfId="0" applyNumberFormat="1" applyAlignment="1">
      <alignment vertical="center"/>
    </xf>
    <xf numFmtId="177" fontId="0" fillId="0" borderId="53" xfId="0" applyNumberFormat="1" applyBorder="1" applyAlignment="1">
      <alignment vertical="center"/>
    </xf>
    <xf numFmtId="197" fontId="0" fillId="0" borderId="53" xfId="0" applyNumberFormat="1" applyBorder="1" applyAlignment="1">
      <alignment vertical="center"/>
    </xf>
    <xf numFmtId="10" fontId="0" fillId="0" borderId="53" xfId="0" applyNumberFormat="1" applyBorder="1" applyAlignment="1">
      <alignment vertical="center"/>
    </xf>
    <xf numFmtId="0" fontId="0" fillId="0" borderId="54" xfId="0" applyBorder="1" applyAlignment="1">
      <alignment vertical="center"/>
    </xf>
    <xf numFmtId="10" fontId="0" fillId="0" borderId="54" xfId="0" applyNumberFormat="1" applyBorder="1" applyAlignment="1">
      <alignment vertical="center"/>
    </xf>
    <xf numFmtId="0" fontId="0" fillId="0" borderId="4" xfId="0" applyBorder="1" applyAlignment="1">
      <alignment horizontal="center" vertical="center"/>
    </xf>
    <xf numFmtId="0" fontId="0" fillId="0" borderId="111" xfId="0" applyBorder="1" applyAlignment="1">
      <alignment vertical="center"/>
    </xf>
    <xf numFmtId="0" fontId="0" fillId="0" borderId="111" xfId="0" applyBorder="1" applyAlignment="1">
      <alignment vertical="center" wrapText="1"/>
    </xf>
    <xf numFmtId="38" fontId="0" fillId="0" borderId="111" xfId="0" applyNumberFormat="1" applyBorder="1" applyAlignment="1">
      <alignment vertical="center"/>
    </xf>
    <xf numFmtId="10" fontId="0" fillId="0" borderId="111" xfId="0" applyNumberFormat="1" applyBorder="1" applyAlignment="1">
      <alignment vertical="center"/>
    </xf>
    <xf numFmtId="0" fontId="0" fillId="0" borderId="3" xfId="0" applyBorder="1" applyAlignment="1">
      <alignment vertical="center"/>
    </xf>
    <xf numFmtId="188" fontId="0" fillId="0" borderId="0" xfId="0" applyNumberFormat="1" applyAlignment="1">
      <alignment vertical="center"/>
    </xf>
    <xf numFmtId="184" fontId="0" fillId="0" borderId="3" xfId="0" applyNumberFormat="1" applyBorder="1" applyAlignment="1">
      <alignment vertical="center"/>
    </xf>
    <xf numFmtId="198" fontId="0" fillId="0" borderId="0" xfId="0" applyNumberFormat="1" applyAlignment="1">
      <alignment vertical="center"/>
    </xf>
    <xf numFmtId="0" fontId="61" fillId="0" borderId="0" xfId="0" applyFont="1" applyAlignment="1">
      <alignment vertical="center"/>
    </xf>
    <xf numFmtId="0" fontId="62" fillId="0" borderId="114" xfId="18" applyFont="1" applyBorder="1" applyAlignment="1">
      <alignment horizontal="center" wrapText="1"/>
    </xf>
    <xf numFmtId="0" fontId="62" fillId="0" borderId="114" xfId="18" applyFont="1" applyBorder="1" applyAlignment="1">
      <alignment horizontal="left" wrapText="1"/>
    </xf>
    <xf numFmtId="38" fontId="62" fillId="0" borderId="89" xfId="14" applyFont="1" applyBorder="1"/>
    <xf numFmtId="38" fontId="62" fillId="0" borderId="90" xfId="14" applyFont="1" applyBorder="1"/>
    <xf numFmtId="189" fontId="62" fillId="0" borderId="90" xfId="14" applyNumberFormat="1" applyFont="1" applyBorder="1"/>
    <xf numFmtId="190" fontId="62" fillId="0" borderId="91" xfId="14" applyNumberFormat="1" applyFont="1" applyBorder="1"/>
    <xf numFmtId="0" fontId="62" fillId="0" borderId="106" xfId="18" applyFont="1" applyBorder="1" applyAlignment="1">
      <alignment horizontal="center" wrapText="1"/>
    </xf>
    <xf numFmtId="0" fontId="62" fillId="0" borderId="106" xfId="18" applyFont="1" applyBorder="1" applyAlignment="1">
      <alignment horizontal="left" wrapText="1"/>
    </xf>
    <xf numFmtId="38" fontId="62" fillId="0" borderId="107" xfId="14" applyFont="1" applyBorder="1"/>
    <xf numFmtId="38" fontId="62" fillId="0" borderId="108" xfId="14" applyFont="1" applyBorder="1"/>
    <xf numFmtId="189" fontId="62" fillId="0" borderId="108" xfId="14" applyNumberFormat="1" applyFont="1" applyBorder="1"/>
    <xf numFmtId="190" fontId="62" fillId="0" borderId="109" xfId="14" applyNumberFormat="1" applyFont="1" applyBorder="1"/>
    <xf numFmtId="38" fontId="62" fillId="0" borderId="107" xfId="14" applyFont="1" applyBorder="1" applyProtection="1">
      <protection locked="0"/>
    </xf>
    <xf numFmtId="38" fontId="62" fillId="0" borderId="108" xfId="14" applyFont="1" applyBorder="1" applyProtection="1">
      <protection locked="0"/>
    </xf>
    <xf numFmtId="189" fontId="62" fillId="0" borderId="108" xfId="14" applyNumberFormat="1" applyFont="1" applyBorder="1" applyProtection="1">
      <protection locked="0"/>
    </xf>
    <xf numFmtId="190" fontId="62" fillId="0" borderId="109" xfId="14" applyNumberFormat="1" applyFont="1" applyBorder="1" applyProtection="1">
      <protection locked="0"/>
    </xf>
    <xf numFmtId="189" fontId="58" fillId="0" borderId="108" xfId="14" applyNumberFormat="1" applyFont="1" applyBorder="1" applyProtection="1">
      <protection locked="0"/>
    </xf>
    <xf numFmtId="189" fontId="58" fillId="0" borderId="110" xfId="14" applyNumberFormat="1" applyFont="1" applyBorder="1" applyProtection="1">
      <protection locked="0"/>
    </xf>
    <xf numFmtId="196" fontId="58" fillId="0" borderId="108" xfId="14" applyNumberFormat="1" applyFont="1" applyBorder="1" applyProtection="1">
      <protection locked="0"/>
    </xf>
    <xf numFmtId="196" fontId="58" fillId="0" borderId="107" xfId="14" applyNumberFormat="1" applyFont="1" applyBorder="1" applyProtection="1">
      <protection locked="0"/>
    </xf>
    <xf numFmtId="196" fontId="58" fillId="0" borderId="109" xfId="14" applyNumberFormat="1" applyFont="1" applyBorder="1" applyProtection="1">
      <protection locked="0"/>
    </xf>
    <xf numFmtId="0" fontId="63" fillId="0" borderId="114" xfId="18" applyFont="1" applyBorder="1" applyAlignment="1">
      <alignment horizontal="center" wrapText="1"/>
    </xf>
    <xf numFmtId="0" fontId="63" fillId="0" borderId="114" xfId="18" applyFont="1" applyBorder="1" applyAlignment="1">
      <alignment horizontal="left" wrapText="1"/>
    </xf>
    <xf numFmtId="38" fontId="63" fillId="0" borderId="89" xfId="14" applyFont="1" applyBorder="1"/>
    <xf numFmtId="38" fontId="63" fillId="0" borderId="90" xfId="14" applyFont="1" applyBorder="1"/>
    <xf numFmtId="189" fontId="63" fillId="0" borderId="90" xfId="14" applyNumberFormat="1" applyFont="1" applyBorder="1"/>
    <xf numFmtId="190" fontId="63" fillId="0" borderId="91" xfId="14" applyNumberFormat="1" applyFont="1" applyBorder="1"/>
    <xf numFmtId="0" fontId="63" fillId="0" borderId="106" xfId="18" applyFont="1" applyBorder="1" applyAlignment="1">
      <alignment horizontal="center" wrapText="1"/>
    </xf>
    <xf numFmtId="0" fontId="63" fillId="0" borderId="106" xfId="18" applyFont="1" applyBorder="1" applyAlignment="1">
      <alignment horizontal="left" wrapText="1"/>
    </xf>
    <xf numFmtId="38" fontId="63" fillId="0" borderId="107" xfId="14" applyFont="1" applyBorder="1"/>
    <xf numFmtId="38" fontId="63" fillId="0" borderId="108" xfId="14" applyFont="1" applyBorder="1"/>
    <xf numFmtId="189" fontId="63" fillId="0" borderId="108" xfId="14" applyNumberFormat="1" applyFont="1" applyBorder="1"/>
    <xf numFmtId="190" fontId="63" fillId="0" borderId="109" xfId="14" applyNumberFormat="1" applyFont="1" applyBorder="1"/>
    <xf numFmtId="0" fontId="64" fillId="0" borderId="114" xfId="18" applyFont="1" applyBorder="1" applyAlignment="1">
      <alignment horizontal="center" wrapText="1"/>
    </xf>
    <xf numFmtId="0" fontId="64" fillId="0" borderId="114" xfId="18" applyFont="1" applyBorder="1" applyAlignment="1">
      <alignment horizontal="left" wrapText="1"/>
    </xf>
    <xf numFmtId="38" fontId="64" fillId="0" borderId="89" xfId="14" applyFont="1" applyBorder="1"/>
    <xf numFmtId="38" fontId="64" fillId="0" borderId="90" xfId="14" applyFont="1" applyBorder="1"/>
    <xf numFmtId="189" fontId="64" fillId="0" borderId="90" xfId="14" applyNumberFormat="1" applyFont="1" applyBorder="1" applyProtection="1">
      <protection locked="0"/>
    </xf>
    <xf numFmtId="190" fontId="64" fillId="0" borderId="91" xfId="14" applyNumberFormat="1" applyFont="1" applyBorder="1" applyProtection="1">
      <protection locked="0"/>
    </xf>
    <xf numFmtId="189" fontId="58" fillId="0" borderId="90" xfId="14" applyNumberFormat="1" applyFont="1" applyBorder="1" applyProtection="1">
      <protection locked="0"/>
    </xf>
    <xf numFmtId="189" fontId="58" fillId="0" borderId="88" xfId="14" applyNumberFormat="1" applyFont="1" applyBorder="1" applyProtection="1">
      <protection locked="0"/>
    </xf>
    <xf numFmtId="196" fontId="58" fillId="0" borderId="90" xfId="14" applyNumberFormat="1" applyFont="1" applyBorder="1" applyProtection="1">
      <protection locked="0"/>
    </xf>
    <xf numFmtId="196" fontId="58" fillId="0" borderId="89" xfId="14" applyNumberFormat="1" applyFont="1" applyBorder="1" applyProtection="1">
      <protection locked="0"/>
    </xf>
    <xf numFmtId="196" fontId="58" fillId="0" borderId="91" xfId="14" applyNumberFormat="1" applyFont="1" applyBorder="1" applyProtection="1">
      <protection locked="0"/>
    </xf>
    <xf numFmtId="0" fontId="64" fillId="0" borderId="106" xfId="18" applyFont="1" applyBorder="1" applyAlignment="1">
      <alignment horizontal="center" wrapText="1"/>
    </xf>
    <xf numFmtId="0" fontId="64" fillId="0" borderId="106" xfId="18" applyFont="1" applyBorder="1" applyAlignment="1">
      <alignment horizontal="left" wrapText="1"/>
    </xf>
    <xf numFmtId="38" fontId="64" fillId="0" borderId="107" xfId="14" applyFont="1" applyBorder="1"/>
    <xf numFmtId="38" fontId="64" fillId="0" borderId="108" xfId="14" applyFont="1" applyBorder="1" applyProtection="1">
      <protection locked="0"/>
    </xf>
    <xf numFmtId="189" fontId="64" fillId="0" borderId="108" xfId="14" applyNumberFormat="1" applyFont="1" applyBorder="1" applyProtection="1">
      <protection locked="0"/>
    </xf>
    <xf numFmtId="190" fontId="64" fillId="0" borderId="109" xfId="14" applyNumberFormat="1" applyFont="1" applyBorder="1" applyProtection="1">
      <protection locked="0"/>
    </xf>
    <xf numFmtId="38" fontId="64" fillId="0" borderId="107" xfId="14" applyFont="1" applyBorder="1" applyProtection="1">
      <protection locked="0"/>
    </xf>
    <xf numFmtId="38" fontId="64" fillId="0" borderId="108" xfId="14" applyFont="1" applyBorder="1"/>
    <xf numFmtId="189" fontId="64" fillId="0" borderId="108" xfId="14" applyNumberFormat="1" applyFont="1" applyBorder="1"/>
    <xf numFmtId="190" fontId="64" fillId="0" borderId="109" xfId="14" applyNumberFormat="1" applyFont="1" applyBorder="1"/>
    <xf numFmtId="0" fontId="65" fillId="0" borderId="114" xfId="18" applyFont="1" applyBorder="1" applyAlignment="1">
      <alignment horizontal="center" wrapText="1"/>
    </xf>
    <xf numFmtId="0" fontId="65" fillId="0" borderId="114" xfId="18" applyFont="1" applyBorder="1" applyAlignment="1">
      <alignment horizontal="left" wrapText="1"/>
    </xf>
    <xf numFmtId="38" fontId="65" fillId="0" borderId="89" xfId="14" applyFont="1" applyBorder="1" applyProtection="1">
      <protection locked="0"/>
    </xf>
    <xf numFmtId="38" fontId="65" fillId="0" borderId="90" xfId="14" applyFont="1" applyBorder="1" applyProtection="1">
      <protection locked="0"/>
    </xf>
    <xf numFmtId="189" fontId="65" fillId="0" borderId="90" xfId="14" applyNumberFormat="1" applyFont="1" applyBorder="1" applyProtection="1">
      <protection locked="0"/>
    </xf>
    <xf numFmtId="190" fontId="65" fillId="0" borderId="91" xfId="14" applyNumberFormat="1" applyFont="1" applyBorder="1" applyProtection="1">
      <protection locked="0"/>
    </xf>
    <xf numFmtId="0" fontId="65" fillId="0" borderId="102" xfId="18" applyFont="1" applyBorder="1" applyAlignment="1">
      <alignment horizontal="center" wrapText="1"/>
    </xf>
    <xf numFmtId="0" fontId="65" fillId="0" borderId="102" xfId="18" applyFont="1" applyBorder="1" applyAlignment="1">
      <alignment horizontal="left" wrapText="1"/>
    </xf>
    <xf numFmtId="38" fontId="65" fillId="0" borderId="103" xfId="14" applyFont="1" applyBorder="1" applyProtection="1">
      <protection locked="0"/>
    </xf>
    <xf numFmtId="38" fontId="65" fillId="0" borderId="104" xfId="14" applyFont="1" applyBorder="1" applyProtection="1">
      <protection locked="0"/>
    </xf>
    <xf numFmtId="189" fontId="65" fillId="0" borderId="104" xfId="14" applyNumberFormat="1" applyFont="1" applyBorder="1" applyProtection="1">
      <protection locked="0"/>
    </xf>
    <xf numFmtId="190" fontId="65" fillId="0" borderId="105" xfId="14" applyNumberFormat="1" applyFont="1" applyBorder="1" applyProtection="1">
      <protection locked="0"/>
    </xf>
    <xf numFmtId="189" fontId="58" fillId="0" borderId="104" xfId="14" applyNumberFormat="1" applyFont="1" applyBorder="1" applyProtection="1">
      <protection locked="0"/>
    </xf>
    <xf numFmtId="189" fontId="58" fillId="0" borderId="115" xfId="14" applyNumberFormat="1" applyFont="1" applyBorder="1" applyProtection="1">
      <protection locked="0"/>
    </xf>
    <xf numFmtId="196" fontId="58" fillId="0" borderId="104" xfId="14" applyNumberFormat="1" applyFont="1" applyBorder="1" applyProtection="1">
      <protection locked="0"/>
    </xf>
    <xf numFmtId="196" fontId="58" fillId="0" borderId="103" xfId="14" applyNumberFormat="1" applyFont="1" applyBorder="1" applyProtection="1">
      <protection locked="0"/>
    </xf>
    <xf numFmtId="196" fontId="58" fillId="0" borderId="105" xfId="14" applyNumberFormat="1" applyFont="1" applyBorder="1" applyProtection="1">
      <protection locked="0"/>
    </xf>
    <xf numFmtId="0" fontId="65" fillId="0" borderId="106" xfId="18" applyFont="1" applyBorder="1" applyAlignment="1">
      <alignment horizontal="center" wrapText="1"/>
    </xf>
    <xf numFmtId="0" fontId="65" fillId="0" borderId="106" xfId="18" applyFont="1" applyBorder="1" applyAlignment="1">
      <alignment horizontal="left" wrapText="1"/>
    </xf>
    <xf numFmtId="38" fontId="65" fillId="0" borderId="107" xfId="14" applyFont="1" applyBorder="1" applyProtection="1">
      <protection locked="0"/>
    </xf>
    <xf numFmtId="38" fontId="65" fillId="0" borderId="108" xfId="14" applyFont="1" applyBorder="1" applyProtection="1">
      <protection locked="0"/>
    </xf>
    <xf numFmtId="189" fontId="65" fillId="0" borderId="108" xfId="14" applyNumberFormat="1" applyFont="1" applyBorder="1" applyProtection="1">
      <protection locked="0"/>
    </xf>
    <xf numFmtId="190" fontId="65" fillId="0" borderId="109" xfId="14" applyNumberFormat="1" applyFont="1" applyBorder="1" applyProtection="1">
      <protection locked="0"/>
    </xf>
    <xf numFmtId="0" fontId="65" fillId="0" borderId="116" xfId="18" applyFont="1" applyBorder="1" applyAlignment="1">
      <alignment horizontal="center" wrapText="1"/>
    </xf>
    <xf numFmtId="0" fontId="65" fillId="0" borderId="116" xfId="18" applyFont="1" applyBorder="1" applyAlignment="1">
      <alignment horizontal="left" wrapText="1"/>
    </xf>
    <xf numFmtId="38" fontId="65" fillId="0" borderId="117" xfId="14" applyFont="1" applyBorder="1" applyProtection="1">
      <protection locked="0"/>
    </xf>
    <xf numFmtId="38" fontId="65" fillId="0" borderId="118" xfId="14" applyFont="1" applyBorder="1" applyProtection="1">
      <protection locked="0"/>
    </xf>
    <xf numFmtId="189" fontId="65" fillId="0" borderId="118" xfId="14" applyNumberFormat="1" applyFont="1" applyBorder="1" applyProtection="1">
      <protection locked="0"/>
    </xf>
    <xf numFmtId="190" fontId="65" fillId="0" borderId="119" xfId="14" applyNumberFormat="1" applyFont="1" applyBorder="1" applyProtection="1">
      <protection locked="0"/>
    </xf>
    <xf numFmtId="189" fontId="58" fillId="0" borderId="118" xfId="14" applyNumberFormat="1" applyFont="1" applyBorder="1" applyProtection="1">
      <protection locked="0"/>
    </xf>
    <xf numFmtId="189" fontId="58" fillId="0" borderId="120" xfId="14" applyNumberFormat="1" applyFont="1" applyBorder="1" applyProtection="1">
      <protection locked="0"/>
    </xf>
    <xf numFmtId="196" fontId="58" fillId="0" borderId="118" xfId="14" applyNumberFormat="1" applyFont="1" applyBorder="1" applyProtection="1">
      <protection locked="0"/>
    </xf>
    <xf numFmtId="196" fontId="58" fillId="0" borderId="99" xfId="14" applyNumberFormat="1" applyFont="1" applyBorder="1"/>
    <xf numFmtId="196" fontId="58" fillId="0" borderId="117" xfId="14" applyNumberFormat="1" applyFont="1" applyBorder="1" applyProtection="1">
      <protection locked="0"/>
    </xf>
    <xf numFmtId="196" fontId="58" fillId="0" borderId="119" xfId="14" applyNumberFormat="1" applyFont="1" applyBorder="1" applyProtection="1">
      <protection locked="0"/>
    </xf>
    <xf numFmtId="0" fontId="66" fillId="0" borderId="114" xfId="18" applyFont="1" applyBorder="1" applyAlignment="1">
      <alignment horizontal="center" wrapText="1"/>
    </xf>
    <xf numFmtId="0" fontId="66" fillId="0" borderId="114" xfId="18" applyFont="1" applyBorder="1" applyAlignment="1">
      <alignment horizontal="left" wrapText="1"/>
    </xf>
    <xf numFmtId="38" fontId="66" fillId="0" borderId="89" xfId="14" applyFont="1" applyBorder="1" applyProtection="1">
      <protection locked="0"/>
    </xf>
    <xf numFmtId="38" fontId="66" fillId="0" borderId="90" xfId="14" applyFont="1" applyBorder="1" applyProtection="1">
      <protection locked="0"/>
    </xf>
    <xf numFmtId="189" fontId="66" fillId="0" borderId="90" xfId="14" applyNumberFormat="1" applyFont="1" applyBorder="1" applyProtection="1">
      <protection locked="0"/>
    </xf>
    <xf numFmtId="190" fontId="66" fillId="0" borderId="91" xfId="14" applyNumberFormat="1" applyFont="1" applyBorder="1" applyProtection="1">
      <protection locked="0"/>
    </xf>
    <xf numFmtId="0" fontId="66" fillId="0" borderId="106" xfId="18" applyFont="1" applyBorder="1" applyAlignment="1">
      <alignment horizontal="center" wrapText="1"/>
    </xf>
    <xf numFmtId="0" fontId="66" fillId="0" borderId="106" xfId="18" applyFont="1" applyBorder="1" applyAlignment="1">
      <alignment horizontal="left" wrapText="1"/>
    </xf>
    <xf numFmtId="38" fontId="66" fillId="0" borderId="107" xfId="14" applyFont="1" applyBorder="1" applyProtection="1">
      <protection locked="0"/>
    </xf>
    <xf numFmtId="38" fontId="66" fillId="0" borderId="108" xfId="14" applyFont="1" applyBorder="1" applyProtection="1">
      <protection locked="0"/>
    </xf>
    <xf numFmtId="189" fontId="66" fillId="0" borderId="108" xfId="14" applyNumberFormat="1" applyFont="1" applyBorder="1" applyProtection="1">
      <protection locked="0"/>
    </xf>
    <xf numFmtId="190" fontId="66" fillId="0" borderId="109" xfId="14" applyNumberFormat="1" applyFont="1" applyBorder="1" applyProtection="1">
      <protection locked="0"/>
    </xf>
    <xf numFmtId="0" fontId="66" fillId="0" borderId="121" xfId="18" applyFont="1" applyBorder="1" applyAlignment="1">
      <alignment horizontal="center" wrapText="1"/>
    </xf>
    <xf numFmtId="0" fontId="66" fillId="0" borderId="121" xfId="18" applyFont="1" applyBorder="1" applyAlignment="1">
      <alignment horizontal="left" wrapText="1"/>
    </xf>
    <xf numFmtId="38" fontId="66" fillId="0" borderId="98" xfId="14" applyFont="1" applyBorder="1" applyProtection="1">
      <protection locked="0"/>
    </xf>
    <xf numFmtId="38" fontId="66" fillId="0" borderId="99" xfId="14" applyFont="1" applyBorder="1" applyProtection="1">
      <protection locked="0"/>
    </xf>
    <xf numFmtId="189" fontId="66" fillId="0" borderId="99" xfId="14" applyNumberFormat="1" applyFont="1" applyBorder="1" applyProtection="1">
      <protection locked="0"/>
    </xf>
    <xf numFmtId="190" fontId="66" fillId="0" borderId="100" xfId="14" applyNumberFormat="1" applyFont="1" applyBorder="1" applyProtection="1">
      <protection locked="0"/>
    </xf>
    <xf numFmtId="189" fontId="58" fillId="0" borderId="99" xfId="14" applyNumberFormat="1" applyFont="1" applyBorder="1" applyProtection="1">
      <protection locked="0"/>
    </xf>
    <xf numFmtId="189" fontId="58" fillId="0" borderId="97" xfId="14" applyNumberFormat="1" applyFont="1" applyBorder="1" applyProtection="1">
      <protection locked="0"/>
    </xf>
    <xf numFmtId="196" fontId="58" fillId="0" borderId="99" xfId="14" applyNumberFormat="1" applyFont="1" applyBorder="1" applyProtection="1">
      <protection locked="0"/>
    </xf>
    <xf numFmtId="196" fontId="58" fillId="0" borderId="98" xfId="14" applyNumberFormat="1" applyFont="1" applyBorder="1" applyProtection="1">
      <protection locked="0"/>
    </xf>
    <xf numFmtId="196" fontId="58" fillId="0" borderId="100" xfId="14" applyNumberFormat="1" applyFont="1" applyBorder="1" applyProtection="1">
      <protection locked="0"/>
    </xf>
    <xf numFmtId="0" fontId="3" fillId="0" borderId="2" xfId="0" applyFont="1" applyBorder="1" applyAlignment="1">
      <alignment vertical="center" wrapText="1"/>
    </xf>
    <xf numFmtId="0" fontId="10" fillId="0" borderId="0" xfId="0" applyFont="1" applyAlignment="1" applyProtection="1">
      <alignment vertical="center" wrapText="1"/>
      <protection hidden="1"/>
    </xf>
    <xf numFmtId="0" fontId="0" fillId="0" borderId="10" xfId="0" applyBorder="1" applyAlignment="1">
      <alignment vertical="center"/>
    </xf>
    <xf numFmtId="199" fontId="10" fillId="17" borderId="1" xfId="0" applyNumberFormat="1" applyFont="1" applyFill="1" applyBorder="1" applyAlignment="1">
      <alignment horizontal="left" vertical="center" wrapText="1"/>
    </xf>
    <xf numFmtId="49" fontId="10" fillId="2" borderId="27" xfId="8" applyNumberFormat="1" applyFont="1" applyFill="1" applyBorder="1" applyAlignment="1" applyProtection="1">
      <alignment vertical="center"/>
      <protection locked="0"/>
    </xf>
    <xf numFmtId="0" fontId="8" fillId="0" borderId="18" xfId="0" applyFont="1" applyBorder="1" applyAlignment="1" applyProtection="1">
      <alignment horizontal="center" vertical="center"/>
      <protection hidden="1"/>
    </xf>
    <xf numFmtId="0" fontId="3" fillId="0" borderId="5" xfId="0" applyFont="1" applyBorder="1" applyAlignment="1">
      <alignment horizontal="center" vertical="center"/>
    </xf>
    <xf numFmtId="49" fontId="10" fillId="0" borderId="0" xfId="0" applyNumberFormat="1" applyFont="1" applyAlignment="1">
      <alignment horizontal="left" vertical="center" wrapText="1"/>
    </xf>
    <xf numFmtId="0" fontId="59" fillId="0" borderId="34" xfId="0" applyFont="1" applyBorder="1" applyAlignment="1" applyProtection="1">
      <alignment horizontal="center" vertical="center"/>
      <protection hidden="1"/>
    </xf>
    <xf numFmtId="0" fontId="3" fillId="15" borderId="0" xfId="0" applyFont="1" applyFill="1" applyAlignment="1">
      <alignment vertical="center"/>
    </xf>
    <xf numFmtId="49" fontId="48" fillId="0" borderId="58" xfId="0" applyNumberFormat="1" applyFont="1" applyBorder="1" applyAlignment="1" applyProtection="1">
      <alignment horizontal="center" vertical="center"/>
      <protection hidden="1"/>
    </xf>
    <xf numFmtId="0" fontId="68" fillId="0" borderId="0" xfId="0" applyFont="1" applyAlignment="1">
      <alignment vertical="center"/>
    </xf>
    <xf numFmtId="3" fontId="68" fillId="0" borderId="0" xfId="0" applyNumberFormat="1" applyFont="1" applyAlignment="1">
      <alignment vertical="center"/>
    </xf>
    <xf numFmtId="0" fontId="47" fillId="0" borderId="44" xfId="8" applyFont="1" applyBorder="1" applyAlignment="1">
      <alignment vertical="center"/>
    </xf>
    <xf numFmtId="0" fontId="47" fillId="0" borderId="19" xfId="8" applyFont="1" applyBorder="1" applyAlignment="1">
      <alignment vertical="center"/>
    </xf>
    <xf numFmtId="0" fontId="3" fillId="18" borderId="0" xfId="0" applyFont="1" applyFill="1" applyAlignment="1">
      <alignment vertical="center"/>
    </xf>
    <xf numFmtId="49" fontId="3" fillId="0" borderId="18"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52" fillId="0" borderId="0" xfId="0" applyFont="1" applyAlignment="1">
      <alignment vertical="center"/>
    </xf>
    <xf numFmtId="0" fontId="16" fillId="0" borderId="122" xfId="0" applyFont="1" applyBorder="1" applyAlignment="1" applyProtection="1">
      <alignment horizontal="center" vertical="center"/>
      <protection hidden="1"/>
    </xf>
    <xf numFmtId="0" fontId="0" fillId="0" borderId="1" xfId="0" applyBorder="1" applyAlignment="1">
      <alignment vertical="center" wrapText="1"/>
    </xf>
    <xf numFmtId="0" fontId="10" fillId="4" borderId="7" xfId="26" applyFont="1" applyFill="1" applyBorder="1" applyAlignment="1" applyProtection="1">
      <alignment horizontal="center" vertical="center"/>
      <protection hidden="1"/>
    </xf>
    <xf numFmtId="0" fontId="10" fillId="4" borderId="1" xfId="26" applyFont="1" applyFill="1" applyBorder="1" applyAlignment="1" applyProtection="1">
      <alignment horizontal="center" vertical="center"/>
      <protection hidden="1"/>
    </xf>
    <xf numFmtId="0" fontId="3" fillId="4" borderId="1" xfId="26" applyFill="1" applyBorder="1" applyAlignment="1" applyProtection="1">
      <alignment horizontal="center" vertical="center"/>
      <protection hidden="1"/>
    </xf>
    <xf numFmtId="0" fontId="3" fillId="4" borderId="59" xfId="26" applyFill="1" applyBorder="1" applyAlignment="1" applyProtection="1">
      <alignment horizontal="center" vertical="center"/>
      <protection hidden="1"/>
    </xf>
    <xf numFmtId="0" fontId="14" fillId="4" borderId="34" xfId="26" applyFont="1" applyFill="1" applyBorder="1" applyAlignment="1" applyProtection="1">
      <alignment horizontal="center" vertical="center"/>
      <protection hidden="1"/>
    </xf>
    <xf numFmtId="0" fontId="8" fillId="4" borderId="125" xfId="26" applyFont="1" applyFill="1" applyBorder="1" applyAlignment="1" applyProtection="1">
      <alignment horizontal="center" vertical="center"/>
      <protection hidden="1"/>
    </xf>
    <xf numFmtId="0" fontId="8" fillId="4" borderId="51" xfId="26" applyFont="1" applyFill="1" applyBorder="1" applyAlignment="1" applyProtection="1">
      <alignment horizontal="center" vertical="center"/>
      <protection hidden="1"/>
    </xf>
    <xf numFmtId="49" fontId="10" fillId="0" borderId="8" xfId="10" applyNumberFormat="1" applyFont="1" applyBorder="1">
      <alignment vertical="center"/>
    </xf>
    <xf numFmtId="0" fontId="10" fillId="0" borderId="6" xfId="10" applyFont="1" applyBorder="1">
      <alignment vertical="center"/>
    </xf>
    <xf numFmtId="0" fontId="10" fillId="0" borderId="18" xfId="10" applyFont="1" applyBorder="1">
      <alignment vertical="center"/>
    </xf>
    <xf numFmtId="0" fontId="59" fillId="0" borderId="7" xfId="10" applyFont="1" applyBorder="1" applyAlignment="1">
      <alignment horizontal="center" vertical="center"/>
    </xf>
    <xf numFmtId="0" fontId="59" fillId="0" borderId="7" xfId="10" applyFont="1" applyBorder="1">
      <alignment vertical="center"/>
    </xf>
    <xf numFmtId="0" fontId="10" fillId="0" borderId="59" xfId="10" applyFont="1" applyBorder="1">
      <alignment vertical="center"/>
    </xf>
    <xf numFmtId="0" fontId="10" fillId="0" borderId="7" xfId="10" applyFont="1" applyBorder="1">
      <alignment vertical="center"/>
    </xf>
    <xf numFmtId="0" fontId="10" fillId="0" borderId="46" xfId="10" applyFont="1" applyBorder="1">
      <alignment vertical="center"/>
    </xf>
    <xf numFmtId="0" fontId="10" fillId="0" borderId="59" xfId="0" applyFont="1" applyBorder="1" applyAlignment="1" applyProtection="1">
      <alignment vertical="center"/>
      <protection hidden="1"/>
    </xf>
    <xf numFmtId="0" fontId="59" fillId="0" borderId="46" xfId="10" applyFont="1" applyBorder="1">
      <alignment vertical="center"/>
    </xf>
    <xf numFmtId="0" fontId="59" fillId="0" borderId="59" xfId="10" applyFont="1" applyBorder="1">
      <alignment vertical="center"/>
    </xf>
    <xf numFmtId="0" fontId="10" fillId="0" borderId="46" xfId="0" applyFont="1" applyBorder="1" applyAlignment="1" applyProtection="1">
      <alignment vertical="center"/>
      <protection hidden="1"/>
    </xf>
    <xf numFmtId="0" fontId="10" fillId="0" borderId="7" xfId="0" applyFont="1" applyBorder="1" applyAlignment="1" applyProtection="1">
      <alignment vertical="center"/>
      <protection hidden="1"/>
    </xf>
    <xf numFmtId="0" fontId="59" fillId="0" borderId="46" xfId="0" applyFont="1" applyBorder="1" applyAlignment="1" applyProtection="1">
      <alignment vertical="center"/>
      <protection hidden="1"/>
    </xf>
    <xf numFmtId="0" fontId="59" fillId="0" borderId="59" xfId="0" applyFont="1" applyBorder="1" applyAlignment="1" applyProtection="1">
      <alignment vertical="center"/>
      <protection hidden="1"/>
    </xf>
    <xf numFmtId="0" fontId="59" fillId="0" borderId="7" xfId="0" applyFont="1" applyBorder="1" applyAlignment="1" applyProtection="1">
      <alignment vertical="center"/>
      <protection hidden="1"/>
    </xf>
    <xf numFmtId="0" fontId="59" fillId="0" borderId="6" xfId="0" applyFont="1" applyBorder="1" applyAlignment="1" applyProtection="1">
      <alignment vertical="center"/>
      <protection hidden="1"/>
    </xf>
    <xf numFmtId="0" fontId="59" fillId="0" borderId="8" xfId="0" applyFont="1" applyBorder="1" applyAlignment="1" applyProtection="1">
      <alignment vertical="center"/>
      <protection hidden="1"/>
    </xf>
    <xf numFmtId="0" fontId="59" fillId="18" borderId="7" xfId="10" applyFont="1" applyFill="1" applyBorder="1" applyAlignment="1">
      <alignment horizontal="center" vertical="center"/>
    </xf>
    <xf numFmtId="0" fontId="10" fillId="18" borderId="7" xfId="10" applyFont="1" applyFill="1" applyBorder="1">
      <alignment vertical="center"/>
    </xf>
    <xf numFmtId="0" fontId="10" fillId="18" borderId="7" xfId="0" applyFont="1" applyFill="1" applyBorder="1" applyAlignment="1" applyProtection="1">
      <alignment vertical="center"/>
      <protection hidden="1"/>
    </xf>
    <xf numFmtId="0" fontId="59" fillId="18" borderId="7" xfId="0" applyFont="1" applyFill="1" applyBorder="1" applyAlignment="1" applyProtection="1">
      <alignment vertical="center"/>
      <protection hidden="1"/>
    </xf>
    <xf numFmtId="0" fontId="10" fillId="18" borderId="8" xfId="10" applyFont="1" applyFill="1" applyBorder="1">
      <alignment vertical="center"/>
    </xf>
    <xf numFmtId="0" fontId="10" fillId="18" borderId="1" xfId="10" applyFont="1" applyFill="1" applyBorder="1">
      <alignment vertical="center"/>
    </xf>
    <xf numFmtId="0" fontId="59" fillId="18" borderId="7" xfId="10" applyFont="1" applyFill="1" applyBorder="1">
      <alignment vertical="center"/>
    </xf>
    <xf numFmtId="0" fontId="10" fillId="18" borderId="1" xfId="0" applyFont="1" applyFill="1" applyBorder="1" applyAlignment="1" applyProtection="1">
      <alignment vertical="center"/>
      <protection hidden="1"/>
    </xf>
    <xf numFmtId="0" fontId="59" fillId="0" borderId="8" xfId="10" applyFont="1" applyBorder="1">
      <alignment vertical="center"/>
    </xf>
    <xf numFmtId="49" fontId="69" fillId="0" borderId="39" xfId="0" applyNumberFormat="1" applyFont="1" applyBorder="1" applyAlignment="1" applyProtection="1">
      <alignment vertical="center"/>
      <protection hidden="1"/>
    </xf>
    <xf numFmtId="0" fontId="54" fillId="0" borderId="98" xfId="14" applyNumberFormat="1" applyFont="1" applyBorder="1" applyAlignment="1">
      <alignment horizontal="center" shrinkToFit="1"/>
    </xf>
    <xf numFmtId="0" fontId="54" fillId="0" borderId="99" xfId="14" applyNumberFormat="1" applyFont="1" applyBorder="1" applyAlignment="1">
      <alignment horizontal="center" shrinkToFit="1"/>
    </xf>
    <xf numFmtId="0" fontId="54" fillId="0" borderId="100" xfId="14" applyNumberFormat="1" applyFont="1" applyBorder="1" applyAlignment="1">
      <alignment horizontal="center" shrinkToFit="1"/>
    </xf>
    <xf numFmtId="0" fontId="55" fillId="0" borderId="126" xfId="17" applyFont="1" applyBorder="1" applyAlignment="1">
      <alignment horizontal="centerContinuous" vertical="center"/>
    </xf>
    <xf numFmtId="0" fontId="55" fillId="0" borderId="127" xfId="17" applyFont="1" applyBorder="1" applyAlignment="1">
      <alignment horizontal="centerContinuous" vertical="center"/>
    </xf>
    <xf numFmtId="0" fontId="71" fillId="0" borderId="0" xfId="0" applyFont="1" applyAlignment="1">
      <alignment vertical="center"/>
    </xf>
    <xf numFmtId="0" fontId="69" fillId="0" borderId="0" xfId="0" applyFont="1" applyAlignment="1">
      <alignment vertical="center"/>
    </xf>
    <xf numFmtId="0" fontId="69" fillId="0" borderId="0" xfId="0" applyFont="1" applyAlignment="1">
      <alignment horizontal="centerContinuous" vertical="center"/>
    </xf>
    <xf numFmtId="0" fontId="69" fillId="0" borderId="0" xfId="23" applyFont="1" applyAlignment="1">
      <alignment vertical="center"/>
    </xf>
    <xf numFmtId="0" fontId="72" fillId="0" borderId="2" xfId="0" applyFont="1" applyBorder="1" applyAlignment="1">
      <alignment vertical="center" wrapText="1"/>
    </xf>
    <xf numFmtId="0" fontId="72" fillId="0" borderId="2" xfId="0" applyFont="1" applyBorder="1" applyAlignment="1">
      <alignment vertical="center"/>
    </xf>
    <xf numFmtId="0" fontId="72" fillId="0" borderId="4" xfId="0" applyFont="1" applyBorder="1" applyAlignment="1">
      <alignment vertical="center"/>
    </xf>
    <xf numFmtId="0" fontId="72" fillId="0" borderId="5" xfId="0" applyFont="1" applyBorder="1" applyAlignment="1">
      <alignment vertical="center"/>
    </xf>
    <xf numFmtId="49" fontId="72" fillId="0" borderId="12" xfId="0" applyNumberFormat="1" applyFont="1" applyBorder="1" applyAlignment="1">
      <alignment horizontal="center" vertical="center"/>
    </xf>
    <xf numFmtId="0" fontId="72" fillId="0" borderId="10" xfId="0" applyFont="1" applyBorder="1" applyAlignment="1">
      <alignment vertical="center"/>
    </xf>
    <xf numFmtId="0" fontId="72" fillId="0" borderId="22" xfId="0" applyFont="1" applyBorder="1" applyAlignment="1">
      <alignment vertical="center"/>
    </xf>
    <xf numFmtId="49" fontId="72" fillId="0" borderId="19" xfId="0" applyNumberFormat="1" applyFont="1" applyBorder="1" applyAlignment="1">
      <alignment horizontal="center" vertical="center"/>
    </xf>
    <xf numFmtId="0" fontId="72" fillId="0" borderId="11" xfId="0" applyFont="1" applyBorder="1" applyAlignment="1">
      <alignment vertical="center"/>
    </xf>
    <xf numFmtId="0" fontId="72" fillId="0" borderId="21" xfId="0" applyFont="1" applyBorder="1" applyAlignment="1">
      <alignment vertical="center"/>
    </xf>
    <xf numFmtId="49" fontId="69" fillId="0" borderId="8" xfId="10" applyNumberFormat="1" applyFont="1" applyBorder="1" applyAlignment="1">
      <alignment horizontal="left" vertical="center"/>
    </xf>
    <xf numFmtId="0" fontId="69" fillId="0" borderId="0" xfId="10" applyFont="1" applyAlignment="1">
      <alignment horizontal="left" vertical="center"/>
    </xf>
    <xf numFmtId="191" fontId="0" fillId="0" borderId="0" xfId="0" applyNumberFormat="1" applyAlignment="1">
      <alignment vertical="center"/>
    </xf>
    <xf numFmtId="0" fontId="0" fillId="0" borderId="0" xfId="0"/>
    <xf numFmtId="0" fontId="10" fillId="0" borderId="45" xfId="8" applyFont="1" applyBorder="1" applyAlignment="1">
      <alignment horizontal="right" vertical="center"/>
    </xf>
    <xf numFmtId="0" fontId="0" fillId="0" borderId="0" xfId="0" applyAlignment="1">
      <alignment vertical="center"/>
    </xf>
    <xf numFmtId="0" fontId="10" fillId="0" borderId="0" xfId="0" applyFont="1" applyAlignment="1">
      <alignment vertical="center"/>
    </xf>
    <xf numFmtId="0" fontId="0" fillId="0" borderId="0" xfId="0" applyAlignment="1" applyProtection="1">
      <alignment vertical="center"/>
      <protection hidden="1"/>
    </xf>
    <xf numFmtId="0" fontId="49" fillId="0" borderId="0" xfId="0" applyFont="1" applyAlignment="1" applyProtection="1">
      <alignment vertical="center"/>
      <protection hidden="1"/>
    </xf>
    <xf numFmtId="199" fontId="10" fillId="17" borderId="5" xfId="0" applyNumberFormat="1" applyFont="1" applyFill="1" applyBorder="1" applyAlignment="1">
      <alignment horizontal="left" vertical="center" wrapText="1"/>
    </xf>
    <xf numFmtId="0" fontId="52" fillId="0" borderId="27" xfId="8" applyFont="1" applyBorder="1" applyAlignment="1" applyProtection="1">
      <alignment horizontal="center" vertical="center"/>
      <protection hidden="1"/>
    </xf>
    <xf numFmtId="199" fontId="10" fillId="2" borderId="10" xfId="8" applyNumberFormat="1" applyFont="1" applyFill="1" applyBorder="1" applyAlignment="1" applyProtection="1">
      <alignment vertical="center"/>
      <protection locked="0"/>
    </xf>
    <xf numFmtId="0" fontId="3" fillId="17" borderId="38" xfId="8" applyFont="1" applyFill="1" applyBorder="1" applyAlignment="1">
      <alignment horizontal="center" vertical="center"/>
    </xf>
    <xf numFmtId="0" fontId="3" fillId="0" borderId="22" xfId="8" applyFont="1" applyBorder="1" applyAlignment="1">
      <alignment horizontal="right" vertical="center"/>
    </xf>
    <xf numFmtId="0" fontId="10" fillId="0" borderId="123" xfId="8" applyFont="1" applyBorder="1" applyAlignment="1">
      <alignment horizontal="center" vertical="center"/>
    </xf>
    <xf numFmtId="0" fontId="10" fillId="0" borderId="128" xfId="8" applyFont="1" applyBorder="1" applyAlignment="1">
      <alignment vertical="center"/>
    </xf>
    <xf numFmtId="0" fontId="3" fillId="0" borderId="124" xfId="8" applyFont="1" applyBorder="1" applyAlignment="1">
      <alignment horizontal="right" vertical="center"/>
    </xf>
    <xf numFmtId="0" fontId="23" fillId="0" borderId="0" xfId="13" applyFont="1" applyAlignment="1">
      <alignment horizontal="left" vertical="center" indent="1"/>
    </xf>
    <xf numFmtId="0" fontId="10" fillId="0" borderId="0" xfId="13" applyFont="1" applyAlignment="1">
      <alignment horizontal="left" vertical="center"/>
    </xf>
    <xf numFmtId="0" fontId="10" fillId="0" borderId="0" xfId="13" applyFont="1">
      <alignment vertical="center"/>
    </xf>
    <xf numFmtId="0" fontId="10" fillId="0" borderId="0" xfId="13" applyFont="1" applyAlignment="1">
      <alignment horizontal="center" vertical="center"/>
    </xf>
    <xf numFmtId="0" fontId="10" fillId="19" borderId="8" xfId="26" applyFont="1" applyFill="1" applyBorder="1" applyProtection="1">
      <alignment vertical="center"/>
      <protection hidden="1"/>
    </xf>
    <xf numFmtId="0" fontId="10" fillId="19" borderId="1" xfId="26" applyFont="1" applyFill="1" applyBorder="1" applyProtection="1">
      <alignment vertical="center"/>
      <protection hidden="1"/>
    </xf>
    <xf numFmtId="0" fontId="15" fillId="0" borderId="7" xfId="26" applyFont="1" applyBorder="1" applyAlignment="1" applyProtection="1">
      <alignment horizontal="center" vertical="center"/>
      <protection hidden="1"/>
    </xf>
    <xf numFmtId="0" fontId="17" fillId="0" borderId="7" xfId="26" applyFont="1" applyBorder="1" applyAlignment="1" applyProtection="1">
      <alignment horizontal="center" vertical="center"/>
      <protection hidden="1"/>
    </xf>
    <xf numFmtId="0" fontId="17" fillId="0" borderId="7" xfId="26" applyFont="1" applyBorder="1" applyProtection="1">
      <alignment vertical="center"/>
      <protection hidden="1"/>
    </xf>
    <xf numFmtId="0" fontId="17" fillId="0" borderId="34" xfId="26" applyFont="1" applyBorder="1" applyProtection="1">
      <alignment vertical="center"/>
      <protection hidden="1"/>
    </xf>
    <xf numFmtId="0" fontId="17" fillId="0" borderId="125" xfId="26" applyFont="1" applyBorder="1" applyProtection="1">
      <alignment vertical="center"/>
      <protection hidden="1"/>
    </xf>
    <xf numFmtId="0" fontId="17" fillId="0" borderId="51" xfId="26" applyFont="1" applyBorder="1" applyProtection="1">
      <alignment vertical="center"/>
      <protection hidden="1"/>
    </xf>
    <xf numFmtId="0" fontId="0" fillId="0" borderId="0" xfId="7" applyFont="1">
      <alignment vertical="center"/>
    </xf>
    <xf numFmtId="0" fontId="28" fillId="0" borderId="45" xfId="0" applyFont="1" applyBorder="1" applyAlignment="1">
      <alignment horizontal="center" vertical="center"/>
    </xf>
    <xf numFmtId="0" fontId="10" fillId="0" borderId="0" xfId="28" applyFont="1">
      <alignment vertical="center"/>
    </xf>
    <xf numFmtId="0" fontId="10" fillId="15" borderId="0" xfId="0" applyFont="1" applyFill="1" applyAlignment="1">
      <alignment vertical="center"/>
    </xf>
    <xf numFmtId="0" fontId="3" fillId="0" borderId="0" xfId="28">
      <alignment vertical="center"/>
    </xf>
    <xf numFmtId="0" fontId="3" fillId="0" borderId="0" xfId="28" applyAlignment="1">
      <alignment horizontal="left" vertical="center"/>
    </xf>
    <xf numFmtId="0" fontId="3" fillId="14" borderId="0" xfId="28" applyFill="1">
      <alignment vertical="center"/>
    </xf>
    <xf numFmtId="0" fontId="10" fillId="14" borderId="0" xfId="29" applyFont="1" applyFill="1" applyAlignment="1">
      <alignment vertical="center"/>
    </xf>
    <xf numFmtId="0" fontId="17" fillId="0" borderId="0" xfId="30" applyFont="1" applyAlignment="1" applyProtection="1">
      <alignment horizontal="left" vertical="center"/>
      <protection hidden="1"/>
    </xf>
    <xf numFmtId="0" fontId="17" fillId="14" borderId="0" xfId="31" applyFont="1" applyFill="1" applyProtection="1">
      <alignment vertical="center"/>
      <protection hidden="1"/>
    </xf>
    <xf numFmtId="0" fontId="10" fillId="14" borderId="0" xfId="28" applyFont="1" applyFill="1" applyAlignment="1">
      <alignment horizontal="center" vertical="center"/>
    </xf>
    <xf numFmtId="0" fontId="10" fillId="14" borderId="0" xfId="28" applyFont="1" applyFill="1">
      <alignment vertical="center"/>
    </xf>
    <xf numFmtId="0" fontId="10" fillId="14" borderId="0" xfId="28" applyFont="1" applyFill="1" applyProtection="1">
      <alignment vertical="center"/>
      <protection hidden="1"/>
    </xf>
    <xf numFmtId="0" fontId="15" fillId="14" borderId="0" xfId="28" applyFont="1" applyFill="1" applyProtection="1">
      <alignment vertical="center"/>
      <protection hidden="1"/>
    </xf>
    <xf numFmtId="0" fontId="10" fillId="14" borderId="6" xfId="28" applyFont="1" applyFill="1" applyBorder="1" applyAlignment="1">
      <alignment horizontal="center" vertical="center" wrapText="1"/>
    </xf>
    <xf numFmtId="0" fontId="52" fillId="14" borderId="52" xfId="28" applyFont="1" applyFill="1" applyBorder="1" applyAlignment="1">
      <alignment horizontal="center" vertical="center" wrapText="1"/>
    </xf>
    <xf numFmtId="0" fontId="3" fillId="2" borderId="46" xfId="28" applyFill="1" applyBorder="1" applyProtection="1">
      <alignment vertical="center"/>
      <protection locked="0"/>
    </xf>
    <xf numFmtId="0" fontId="52" fillId="14" borderId="3" xfId="28" applyFont="1" applyFill="1" applyBorder="1">
      <alignment vertical="center"/>
    </xf>
    <xf numFmtId="49" fontId="10" fillId="0" borderId="0" xfId="28" applyNumberFormat="1" applyFont="1">
      <alignment vertical="center"/>
    </xf>
    <xf numFmtId="0" fontId="0" fillId="0" borderId="0" xfId="28" applyFont="1" applyAlignment="1" applyProtection="1">
      <alignment horizontal="center" vertical="center"/>
      <protection hidden="1"/>
    </xf>
    <xf numFmtId="0" fontId="10" fillId="14" borderId="18" xfId="28" applyFont="1" applyFill="1" applyBorder="1" applyAlignment="1">
      <alignment horizontal="center" vertical="center" wrapText="1"/>
    </xf>
    <xf numFmtId="0" fontId="10" fillId="14" borderId="19" xfId="28" applyFont="1" applyFill="1" applyBorder="1" applyAlignment="1">
      <alignment vertical="center" wrapText="1"/>
    </xf>
    <xf numFmtId="0" fontId="10" fillId="14" borderId="11" xfId="28" applyFont="1" applyFill="1" applyBorder="1" applyAlignment="1">
      <alignment vertical="center" wrapText="1"/>
    </xf>
    <xf numFmtId="0" fontId="8" fillId="14" borderId="21" xfId="28" applyFont="1" applyFill="1" applyBorder="1" applyAlignment="1">
      <alignment horizontal="right" vertical="center"/>
    </xf>
    <xf numFmtId="0" fontId="61" fillId="0" borderId="54" xfId="0" applyFont="1" applyBorder="1" applyAlignment="1">
      <alignment horizontal="center" vertical="center"/>
    </xf>
    <xf numFmtId="0" fontId="0" fillId="2" borderId="54" xfId="28" applyFont="1" applyFill="1" applyBorder="1" applyProtection="1">
      <alignment vertical="center"/>
      <protection locked="0"/>
    </xf>
    <xf numFmtId="0" fontId="10" fillId="14" borderId="3" xfId="28" applyFont="1" applyFill="1" applyBorder="1">
      <alignment vertical="center"/>
    </xf>
    <xf numFmtId="0" fontId="10" fillId="0" borderId="0" xfId="28" applyFont="1" applyProtection="1">
      <alignment vertical="center"/>
      <protection hidden="1"/>
    </xf>
    <xf numFmtId="0" fontId="15" fillId="0" borderId="0" xfId="28" applyFont="1" applyProtection="1">
      <alignment vertical="center"/>
      <protection hidden="1"/>
    </xf>
    <xf numFmtId="0" fontId="10" fillId="14" borderId="0" xfId="28" applyFont="1" applyFill="1" applyAlignment="1">
      <alignment horizontal="center" vertical="center" wrapText="1"/>
    </xf>
    <xf numFmtId="0" fontId="10" fillId="14" borderId="0" xfId="28" applyFont="1" applyFill="1" applyAlignment="1">
      <alignment vertical="center" wrapText="1"/>
    </xf>
    <xf numFmtId="0" fontId="8" fillId="14" borderId="0" xfId="28" applyFont="1" applyFill="1" applyAlignment="1">
      <alignment horizontal="right" vertical="center"/>
    </xf>
    <xf numFmtId="0" fontId="0" fillId="0" borderId="0" xfId="28" applyFont="1" applyProtection="1">
      <alignment vertical="center"/>
      <protection hidden="1"/>
    </xf>
    <xf numFmtId="0" fontId="10" fillId="0" borderId="0" xfId="28" applyFont="1" applyAlignment="1" applyProtection="1">
      <alignment horizontal="center" vertical="center"/>
      <protection hidden="1"/>
    </xf>
    <xf numFmtId="0" fontId="10" fillId="14" borderId="4" xfId="28" applyFont="1" applyFill="1" applyBorder="1" applyAlignment="1">
      <alignment vertical="center" wrapText="1"/>
    </xf>
    <xf numFmtId="0" fontId="3" fillId="2" borderId="52" xfId="28" applyFill="1" applyBorder="1" applyProtection="1">
      <alignment vertical="center"/>
      <protection locked="0"/>
    </xf>
    <xf numFmtId="0" fontId="3" fillId="0" borderId="0" xfId="28" applyAlignment="1" applyProtection="1">
      <alignment horizontal="left" vertical="center"/>
      <protection hidden="1"/>
    </xf>
    <xf numFmtId="0" fontId="10" fillId="0" borderId="0" xfId="28" applyFont="1" applyAlignment="1" applyProtection="1">
      <alignment horizontal="left" vertical="center"/>
      <protection hidden="1"/>
    </xf>
    <xf numFmtId="0" fontId="10" fillId="14" borderId="19" xfId="28" applyFont="1" applyFill="1" applyBorder="1" applyAlignment="1">
      <alignment horizontal="left" vertical="center" wrapText="1"/>
    </xf>
    <xf numFmtId="0" fontId="10" fillId="14" borderId="11" xfId="28" applyFont="1" applyFill="1" applyBorder="1" applyAlignment="1">
      <alignment horizontal="left" vertical="center" wrapText="1"/>
    </xf>
    <xf numFmtId="0" fontId="10" fillId="14" borderId="128" xfId="28" applyFont="1" applyFill="1" applyBorder="1" applyAlignment="1">
      <alignment horizontal="center" vertical="center" wrapText="1"/>
    </xf>
    <xf numFmtId="0" fontId="10" fillId="14" borderId="128" xfId="28" applyFont="1" applyFill="1" applyBorder="1" applyAlignment="1">
      <alignment horizontal="left" vertical="center" wrapText="1"/>
    </xf>
    <xf numFmtId="0" fontId="10" fillId="14" borderId="128" xfId="28" applyFont="1" applyFill="1" applyBorder="1" applyAlignment="1">
      <alignment vertical="center" wrapText="1"/>
    </xf>
    <xf numFmtId="0" fontId="8" fillId="14" borderId="128" xfId="28" applyFont="1" applyFill="1" applyBorder="1" applyAlignment="1">
      <alignment horizontal="right" vertical="center"/>
    </xf>
    <xf numFmtId="0" fontId="0" fillId="0" borderId="0" xfId="28" applyFont="1" applyAlignment="1">
      <alignment horizontal="left" vertical="center"/>
    </xf>
    <xf numFmtId="0" fontId="10" fillId="14" borderId="3" xfId="28" applyFont="1" applyFill="1" applyBorder="1" applyAlignment="1">
      <alignment horizontal="center" vertical="center"/>
    </xf>
    <xf numFmtId="0" fontId="10" fillId="14" borderId="20" xfId="28" applyFont="1" applyFill="1" applyBorder="1">
      <alignment vertical="center"/>
    </xf>
    <xf numFmtId="0" fontId="10" fillId="14" borderId="58" xfId="28" applyFont="1" applyFill="1" applyBorder="1">
      <alignment vertical="center"/>
    </xf>
    <xf numFmtId="0" fontId="10" fillId="14" borderId="41" xfId="28" applyFont="1" applyFill="1" applyBorder="1">
      <alignment vertical="center"/>
    </xf>
    <xf numFmtId="0" fontId="10" fillId="14" borderId="78" xfId="28" applyFont="1" applyFill="1" applyBorder="1">
      <alignment vertical="center"/>
    </xf>
    <xf numFmtId="3" fontId="3" fillId="2" borderId="52" xfId="28" applyNumberFormat="1" applyFill="1" applyBorder="1" applyAlignment="1" applyProtection="1">
      <alignment horizontal="right" vertical="center"/>
      <protection locked="0"/>
    </xf>
    <xf numFmtId="3" fontId="3" fillId="2" borderId="23" xfId="28" applyNumberFormat="1" applyFill="1" applyBorder="1" applyAlignment="1" applyProtection="1">
      <alignment horizontal="right" vertical="center"/>
      <protection locked="0"/>
    </xf>
    <xf numFmtId="0" fontId="10" fillId="14" borderId="39" xfId="28" applyFont="1" applyFill="1" applyBorder="1">
      <alignment vertical="center"/>
    </xf>
    <xf numFmtId="0" fontId="10" fillId="14" borderId="53" xfId="28" applyFont="1" applyFill="1" applyBorder="1">
      <alignment vertical="center"/>
    </xf>
    <xf numFmtId="3" fontId="3" fillId="2" borderId="22" xfId="28" applyNumberFormat="1" applyFill="1" applyBorder="1" applyAlignment="1" applyProtection="1">
      <alignment horizontal="right" vertical="center"/>
      <protection locked="0"/>
    </xf>
    <xf numFmtId="184" fontId="3" fillId="0" borderId="0" xfId="28" applyNumberFormat="1">
      <alignment vertical="center"/>
    </xf>
    <xf numFmtId="0" fontId="0" fillId="0" borderId="0" xfId="28" applyFont="1" applyAlignment="1">
      <alignment horizontal="center" vertical="center"/>
    </xf>
    <xf numFmtId="0" fontId="47" fillId="0" borderId="0" xfId="28" applyFont="1">
      <alignment vertical="center"/>
    </xf>
    <xf numFmtId="0" fontId="3" fillId="0" borderId="0" xfId="28" applyAlignment="1">
      <alignment horizontal="right" vertical="center"/>
    </xf>
    <xf numFmtId="0" fontId="8" fillId="14" borderId="58" xfId="28" applyFont="1" applyFill="1" applyBorder="1" applyAlignment="1">
      <alignment horizontal="right" vertical="center"/>
    </xf>
    <xf numFmtId="3" fontId="0" fillId="2" borderId="39" xfId="28" applyNumberFormat="1" applyFont="1" applyFill="1" applyBorder="1" applyAlignment="1" applyProtection="1">
      <alignment horizontal="left" vertical="center"/>
      <protection locked="0"/>
    </xf>
    <xf numFmtId="178" fontId="3" fillId="0" borderId="0" xfId="28" applyNumberFormat="1" applyAlignment="1">
      <alignment horizontal="right" vertical="center"/>
    </xf>
    <xf numFmtId="0" fontId="10" fillId="14" borderId="54" xfId="28" applyFont="1" applyFill="1" applyBorder="1">
      <alignment vertical="center"/>
    </xf>
    <xf numFmtId="0" fontId="10" fillId="14" borderId="8" xfId="28" applyFont="1" applyFill="1" applyBorder="1" applyAlignment="1">
      <alignment horizontal="center" vertical="center"/>
    </xf>
    <xf numFmtId="0" fontId="52" fillId="14" borderId="7" xfId="28" applyFont="1" applyFill="1" applyBorder="1" applyAlignment="1">
      <alignment horizontal="center" vertical="center"/>
    </xf>
    <xf numFmtId="3" fontId="3" fillId="3" borderId="1" xfId="28" applyNumberFormat="1" applyFill="1" applyBorder="1" applyProtection="1">
      <alignment vertical="center"/>
      <protection hidden="1"/>
    </xf>
    <xf numFmtId="0" fontId="10" fillId="14" borderId="46" xfId="28" applyFont="1" applyFill="1" applyBorder="1">
      <alignment vertical="center"/>
    </xf>
    <xf numFmtId="0" fontId="10" fillId="14" borderId="29" xfId="28" applyFont="1" applyFill="1" applyBorder="1">
      <alignment vertical="center"/>
    </xf>
    <xf numFmtId="0" fontId="10" fillId="14" borderId="52" xfId="28" applyFont="1" applyFill="1" applyBorder="1">
      <alignment vertical="center"/>
    </xf>
    <xf numFmtId="0" fontId="8" fillId="14" borderId="59" xfId="28" applyFont="1" applyFill="1" applyBorder="1" applyAlignment="1">
      <alignment horizontal="right" vertical="center"/>
    </xf>
    <xf numFmtId="0" fontId="10" fillId="14" borderId="7" xfId="28" applyFont="1" applyFill="1" applyBorder="1">
      <alignment vertical="center"/>
    </xf>
    <xf numFmtId="0" fontId="8" fillId="14" borderId="20" xfId="28" applyFont="1" applyFill="1" applyBorder="1" applyAlignment="1">
      <alignment horizontal="right" vertical="center"/>
    </xf>
    <xf numFmtId="3" fontId="8" fillId="2" borderId="22" xfId="28" applyNumberFormat="1" applyFont="1" applyFill="1" applyBorder="1" applyAlignment="1" applyProtection="1">
      <alignment horizontal="right" vertical="center"/>
      <protection locked="0"/>
    </xf>
    <xf numFmtId="3" fontId="0" fillId="2" borderId="29" xfId="28" applyNumberFormat="1" applyFont="1" applyFill="1" applyBorder="1" applyAlignment="1" applyProtection="1">
      <alignment horizontal="left" vertical="center"/>
      <protection locked="0"/>
    </xf>
    <xf numFmtId="0" fontId="10" fillId="14" borderId="18" xfId="28" applyFont="1" applyFill="1" applyBorder="1" applyAlignment="1">
      <alignment horizontal="center" vertical="center"/>
    </xf>
    <xf numFmtId="0" fontId="10" fillId="14" borderId="124" xfId="28" applyFont="1" applyFill="1" applyBorder="1">
      <alignment vertical="center"/>
    </xf>
    <xf numFmtId="0" fontId="10" fillId="14" borderId="59" xfId="28" applyFont="1" applyFill="1" applyBorder="1">
      <alignment vertical="center"/>
    </xf>
    <xf numFmtId="0" fontId="10" fillId="14" borderId="2" xfId="28" applyFont="1" applyFill="1" applyBorder="1">
      <alignment vertical="center"/>
    </xf>
    <xf numFmtId="184" fontId="3" fillId="17" borderId="7" xfId="28" applyNumberFormat="1" applyFill="1" applyBorder="1" applyProtection="1">
      <alignment vertical="center"/>
      <protection hidden="1"/>
    </xf>
    <xf numFmtId="0" fontId="45" fillId="0" borderId="0" xfId="28" applyFont="1" applyAlignment="1">
      <alignment horizontal="left" vertical="center"/>
    </xf>
    <xf numFmtId="0" fontId="45" fillId="4" borderId="0" xfId="28" applyFont="1" applyFill="1" applyAlignment="1">
      <alignment horizontal="left" vertical="center"/>
    </xf>
    <xf numFmtId="0" fontId="0" fillId="2" borderId="51" xfId="0" applyFont="1" applyFill="1" applyBorder="1" applyAlignment="1" applyProtection="1">
      <alignment vertical="center"/>
      <protection locked="0"/>
    </xf>
    <xf numFmtId="0" fontId="77" fillId="2" borderId="51" xfId="32" applyFill="1" applyBorder="1" applyAlignment="1" applyProtection="1">
      <alignment vertical="center"/>
      <protection locked="0"/>
    </xf>
    <xf numFmtId="38" fontId="0" fillId="0" borderId="0" xfId="0" applyNumberFormat="1"/>
    <xf numFmtId="0" fontId="0" fillId="0" borderId="0" xfId="0" applyNumberFormat="1"/>
    <xf numFmtId="0" fontId="0" fillId="0" borderId="0" xfId="0"/>
    <xf numFmtId="49" fontId="10" fillId="2" borderId="51" xfId="0" applyNumberFormat="1" applyFont="1" applyFill="1" applyBorder="1" applyAlignment="1" applyProtection="1">
      <alignment horizontal="left" vertical="center" wrapText="1"/>
      <protection locked="0"/>
    </xf>
    <xf numFmtId="0" fontId="3" fillId="0" borderId="0" xfId="0" applyFont="1" applyAlignment="1" applyProtection="1">
      <alignment vertical="center"/>
    </xf>
    <xf numFmtId="0" fontId="7" fillId="18" borderId="3" xfId="0" applyFont="1" applyFill="1" applyBorder="1" applyAlignment="1" applyProtection="1">
      <alignment vertical="center"/>
    </xf>
    <xf numFmtId="0" fontId="28" fillId="18" borderId="3" xfId="0" applyFont="1" applyFill="1" applyBorder="1" applyAlignment="1" applyProtection="1">
      <alignment vertical="center"/>
    </xf>
    <xf numFmtId="0" fontId="0" fillId="18" borderId="12" xfId="0" applyFill="1" applyBorder="1" applyAlignment="1" applyProtection="1">
      <alignment vertical="center"/>
    </xf>
    <xf numFmtId="0" fontId="3" fillId="18" borderId="22" xfId="0" applyFont="1" applyFill="1" applyBorder="1" applyAlignment="1" applyProtection="1">
      <alignment vertical="center"/>
    </xf>
    <xf numFmtId="38" fontId="3" fillId="18" borderId="22" xfId="2" applyFill="1" applyBorder="1" applyAlignment="1" applyProtection="1">
      <alignment vertical="center"/>
    </xf>
    <xf numFmtId="0" fontId="12" fillId="0" borderId="0" xfId="0" applyFont="1" applyAlignment="1" applyProtection="1">
      <alignment vertical="center"/>
    </xf>
    <xf numFmtId="38" fontId="3" fillId="8" borderId="53" xfId="2" applyFill="1" applyBorder="1" applyAlignment="1" applyProtection="1">
      <alignment horizontal="center" vertical="center"/>
    </xf>
    <xf numFmtId="38" fontId="3" fillId="8" borderId="22" xfId="2" applyFill="1" applyBorder="1" applyAlignment="1" applyProtection="1">
      <alignment horizontal="center" vertical="center"/>
    </xf>
    <xf numFmtId="0" fontId="0" fillId="0" borderId="0" xfId="0" applyAlignment="1" applyProtection="1">
      <alignment vertical="center"/>
    </xf>
    <xf numFmtId="0" fontId="3" fillId="18" borderId="57" xfId="0" applyFont="1" applyFill="1" applyBorder="1" applyAlignment="1" applyProtection="1">
      <alignment horizontal="center" vertical="center"/>
    </xf>
    <xf numFmtId="0" fontId="0" fillId="18" borderId="0" xfId="0" applyFill="1" applyAlignment="1" applyProtection="1">
      <alignment horizontal="center" vertical="center"/>
    </xf>
    <xf numFmtId="0" fontId="3" fillId="18" borderId="33" xfId="0" applyFont="1" applyFill="1" applyBorder="1" applyAlignment="1" applyProtection="1">
      <alignment horizontal="center" vertical="center"/>
    </xf>
    <xf numFmtId="38" fontId="7" fillId="8" borderId="46" xfId="2" applyFont="1" applyFill="1" applyBorder="1" applyAlignment="1" applyProtection="1">
      <alignment horizontal="center" vertical="center"/>
    </xf>
    <xf numFmtId="38" fontId="7" fillId="8" borderId="5" xfId="2" applyFont="1" applyFill="1" applyBorder="1" applyAlignment="1" applyProtection="1">
      <alignment horizontal="center" vertical="center"/>
    </xf>
    <xf numFmtId="38" fontId="3" fillId="8" borderId="5" xfId="2" applyFill="1" applyBorder="1" applyAlignment="1" applyProtection="1">
      <alignment horizontal="center" vertical="center"/>
    </xf>
    <xf numFmtId="178" fontId="10" fillId="0" borderId="35" xfId="0" applyNumberFormat="1" applyFont="1" applyBorder="1" applyAlignment="1">
      <alignment horizontal="center" vertical="center" wrapText="1"/>
    </xf>
    <xf numFmtId="178" fontId="10" fillId="0" borderId="55" xfId="0" applyNumberFormat="1" applyFont="1" applyBorder="1" applyAlignment="1">
      <alignment horizontal="center" vertical="center" wrapText="1"/>
    </xf>
    <xf numFmtId="178" fontId="10" fillId="0" borderId="36" xfId="0" applyNumberFormat="1" applyFont="1" applyBorder="1" applyAlignment="1">
      <alignment horizontal="center" vertical="center" wrapText="1"/>
    </xf>
    <xf numFmtId="38" fontId="3" fillId="0" borderId="40" xfId="2" applyFont="1" applyBorder="1" applyAlignment="1" applyProtection="1">
      <alignment vertical="center"/>
      <protection hidden="1"/>
    </xf>
    <xf numFmtId="0" fontId="0" fillId="0" borderId="0" xfId="0" applyBorder="1"/>
    <xf numFmtId="0" fontId="0" fillId="0" borderId="0" xfId="0"/>
    <xf numFmtId="0" fontId="0" fillId="0" borderId="0" xfId="0" applyAlignment="1" applyProtection="1">
      <alignment vertical="center"/>
      <protection hidden="1"/>
    </xf>
    <xf numFmtId="0" fontId="3" fillId="0" borderId="0" xfId="7" applyFont="1">
      <alignment vertical="center"/>
    </xf>
    <xf numFmtId="177" fontId="80" fillId="0" borderId="0" xfId="7" applyNumberFormat="1" applyFont="1" applyAlignment="1">
      <alignment horizontal="left" vertical="center"/>
    </xf>
    <xf numFmtId="38" fontId="10" fillId="2" borderId="22" xfId="2" applyFont="1" applyFill="1" applyBorder="1" applyAlignment="1" applyProtection="1">
      <alignment vertical="center"/>
      <protection locked="0"/>
    </xf>
    <xf numFmtId="38" fontId="10" fillId="2" borderId="21" xfId="2" applyFont="1" applyFill="1" applyBorder="1" applyAlignment="1" applyProtection="1">
      <alignment vertical="center"/>
      <protection locked="0"/>
    </xf>
    <xf numFmtId="38" fontId="10" fillId="2" borderId="71" xfId="2" applyFont="1" applyFill="1" applyBorder="1" applyAlignment="1" applyProtection="1">
      <alignment vertical="center"/>
      <protection locked="0"/>
    </xf>
    <xf numFmtId="38" fontId="10" fillId="2" borderId="20" xfId="2" applyFont="1" applyFill="1" applyBorder="1" applyAlignment="1" applyProtection="1">
      <alignment vertical="center"/>
      <protection locked="0"/>
    </xf>
    <xf numFmtId="38" fontId="10" fillId="2" borderId="31" xfId="2" applyFont="1" applyFill="1" applyBorder="1" applyAlignment="1" applyProtection="1">
      <alignment vertical="center"/>
      <protection locked="0"/>
    </xf>
    <xf numFmtId="0" fontId="61" fillId="10" borderId="0" xfId="0" applyFont="1" applyFill="1" applyAlignment="1">
      <alignment horizontal="center"/>
    </xf>
    <xf numFmtId="0" fontId="61" fillId="0" borderId="0" xfId="0" applyFont="1" applyAlignment="1">
      <alignment horizontal="center"/>
    </xf>
    <xf numFmtId="0" fontId="61" fillId="0" borderId="7" xfId="0" applyFont="1" applyBorder="1" applyAlignment="1">
      <alignment horizontal="center"/>
    </xf>
    <xf numFmtId="0" fontId="61" fillId="0" borderId="4" xfId="0" applyFont="1" applyBorder="1" applyAlignment="1">
      <alignment horizontal="center"/>
    </xf>
    <xf numFmtId="0" fontId="61" fillId="0" borderId="0" xfId="0" applyFont="1" applyBorder="1" applyAlignment="1">
      <alignment horizontal="center"/>
    </xf>
    <xf numFmtId="0" fontId="0" fillId="23" borderId="0" xfId="0" applyFill="1"/>
    <xf numFmtId="0" fontId="0" fillId="23" borderId="0" xfId="0" applyFill="1" applyAlignment="1">
      <alignment horizontal="center"/>
    </xf>
    <xf numFmtId="0" fontId="23" fillId="0" borderId="0" xfId="0" applyFont="1" applyBorder="1" applyAlignment="1" applyProtection="1">
      <alignment vertical="center"/>
      <protection hidden="1"/>
    </xf>
    <xf numFmtId="0" fontId="17" fillId="0" borderId="20" xfId="0" applyFont="1" applyBorder="1" applyAlignment="1" applyProtection="1">
      <alignment vertical="center" shrinkToFit="1"/>
      <protection hidden="1"/>
    </xf>
    <xf numFmtId="0" fontId="0" fillId="20" borderId="153" xfId="0" applyFill="1" applyBorder="1" applyAlignment="1" applyProtection="1">
      <alignment vertical="center"/>
      <protection locked="0"/>
    </xf>
    <xf numFmtId="0" fontId="0" fillId="20" borderId="154" xfId="0" applyFill="1" applyBorder="1" applyAlignment="1" applyProtection="1">
      <alignment vertical="center" wrapText="1"/>
      <protection locked="0"/>
    </xf>
    <xf numFmtId="0" fontId="0" fillId="20" borderId="155" xfId="0" applyFill="1" applyBorder="1" applyAlignment="1" applyProtection="1">
      <alignment vertical="center" wrapText="1"/>
      <protection locked="0"/>
    </xf>
    <xf numFmtId="0" fontId="12" fillId="0" borderId="167" xfId="0" applyFont="1" applyBorder="1" applyAlignment="1" applyProtection="1">
      <alignment vertical="center" wrapText="1"/>
      <protection locked="0"/>
    </xf>
    <xf numFmtId="0" fontId="12" fillId="0" borderId="154" xfId="0" applyFont="1" applyBorder="1" applyAlignment="1" applyProtection="1">
      <alignment vertical="center" wrapText="1"/>
      <protection locked="0"/>
    </xf>
    <xf numFmtId="0" fontId="12" fillId="0" borderId="168" xfId="0" applyFont="1" applyBorder="1" applyAlignment="1" applyProtection="1">
      <alignment vertical="center" wrapText="1"/>
      <protection locked="0"/>
    </xf>
    <xf numFmtId="0" fontId="0" fillId="20" borderId="135" xfId="0" applyFill="1" applyBorder="1" applyAlignment="1" applyProtection="1">
      <alignment vertical="center"/>
      <protection locked="0"/>
    </xf>
    <xf numFmtId="0" fontId="0" fillId="20" borderId="2" xfId="0" applyFill="1" applyBorder="1" applyAlignment="1" applyProtection="1">
      <alignment vertical="center" wrapText="1"/>
      <protection locked="0"/>
    </xf>
    <xf numFmtId="0" fontId="0" fillId="20" borderId="1" xfId="0" applyFill="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160" xfId="0" applyFont="1" applyBorder="1" applyAlignment="1" applyProtection="1">
      <alignment vertical="center" wrapText="1"/>
      <protection locked="0"/>
    </xf>
    <xf numFmtId="0" fontId="3" fillId="21" borderId="133" xfId="13" applyFill="1" applyBorder="1" applyAlignment="1" applyProtection="1">
      <alignment horizontal="centerContinuous" vertical="center"/>
      <protection locked="0"/>
    </xf>
    <xf numFmtId="0" fontId="3" fillId="21" borderId="0" xfId="13" applyFill="1" applyAlignment="1" applyProtection="1">
      <alignment horizontal="centerContinuous" vertical="center"/>
      <protection locked="0"/>
    </xf>
    <xf numFmtId="0" fontId="3" fillId="21" borderId="20" xfId="13" applyFill="1" applyBorder="1" applyAlignment="1" applyProtection="1">
      <alignment horizontal="centerContinuous" vertical="center"/>
      <protection locked="0"/>
    </xf>
    <xf numFmtId="0" fontId="3" fillId="21" borderId="144" xfId="13" applyFill="1" applyBorder="1" applyAlignment="1" applyProtection="1">
      <alignment horizontal="center" vertical="center" wrapText="1"/>
      <protection locked="0"/>
    </xf>
    <xf numFmtId="0" fontId="3" fillId="21" borderId="133" xfId="13" applyFill="1" applyBorder="1" applyProtection="1">
      <alignment vertical="center"/>
      <protection locked="0"/>
    </xf>
    <xf numFmtId="0" fontId="3" fillId="21" borderId="0" xfId="13" applyFill="1" applyProtection="1">
      <alignment vertical="center"/>
      <protection locked="0"/>
    </xf>
    <xf numFmtId="0" fontId="3" fillId="21" borderId="20" xfId="13" applyFill="1" applyBorder="1" applyProtection="1">
      <alignment vertical="center"/>
      <protection locked="0"/>
    </xf>
    <xf numFmtId="0" fontId="3" fillId="21" borderId="134" xfId="13" applyFill="1" applyBorder="1" applyAlignment="1" applyProtection="1">
      <alignment horizontal="center" vertical="center"/>
      <protection locked="0"/>
    </xf>
    <xf numFmtId="0" fontId="10" fillId="0" borderId="135" xfId="13" applyFont="1" applyBorder="1" applyProtection="1">
      <alignment vertical="center"/>
      <protection locked="0"/>
    </xf>
    <xf numFmtId="0" fontId="10" fillId="0" borderId="2" xfId="13" applyFont="1" applyBorder="1" applyProtection="1">
      <alignment vertical="center"/>
      <protection locked="0"/>
    </xf>
    <xf numFmtId="38" fontId="10" fillId="0" borderId="136" xfId="0" applyNumberFormat="1" applyFont="1" applyBorder="1" applyAlignment="1" applyProtection="1">
      <alignment vertical="center"/>
      <protection locked="0"/>
    </xf>
    <xf numFmtId="0" fontId="10" fillId="0" borderId="137" xfId="13" applyFont="1" applyBorder="1" applyProtection="1">
      <alignment vertical="center"/>
      <protection locked="0"/>
    </xf>
    <xf numFmtId="0" fontId="10" fillId="0" borderId="129" xfId="13" applyFont="1" applyBorder="1" applyProtection="1">
      <alignment vertical="center"/>
      <protection locked="0"/>
    </xf>
    <xf numFmtId="38" fontId="10" fillId="0" borderId="138" xfId="0" applyNumberFormat="1" applyFont="1" applyBorder="1" applyAlignment="1" applyProtection="1">
      <alignment vertical="center"/>
      <protection locked="0"/>
    </xf>
    <xf numFmtId="49" fontId="10" fillId="0" borderId="139" xfId="0" applyNumberFormat="1" applyFont="1" applyBorder="1" applyAlignment="1" applyProtection="1">
      <alignment horizontal="center" vertical="center"/>
      <protection locked="0"/>
    </xf>
    <xf numFmtId="49" fontId="10" fillId="0" borderId="130" xfId="0" applyNumberFormat="1" applyFont="1" applyBorder="1" applyAlignment="1" applyProtection="1">
      <alignment vertical="center"/>
      <protection locked="0"/>
    </xf>
    <xf numFmtId="49" fontId="10" fillId="0" borderId="4" xfId="0" applyNumberFormat="1" applyFont="1" applyBorder="1" applyAlignment="1" applyProtection="1">
      <alignment vertical="center"/>
      <protection locked="0"/>
    </xf>
    <xf numFmtId="49" fontId="10" fillId="0" borderId="131" xfId="0" applyNumberFormat="1" applyFont="1" applyBorder="1" applyAlignment="1" applyProtection="1">
      <alignment vertical="center"/>
      <protection locked="0"/>
    </xf>
    <xf numFmtId="0" fontId="10" fillId="0" borderId="156" xfId="0" applyFont="1" applyBorder="1" applyAlignment="1" applyProtection="1">
      <alignment vertical="center"/>
      <protection locked="0"/>
    </xf>
    <xf numFmtId="38" fontId="10" fillId="0" borderId="157" xfId="0" applyNumberFormat="1" applyFont="1" applyBorder="1" applyAlignment="1" applyProtection="1">
      <alignment vertical="center"/>
      <protection locked="0"/>
    </xf>
    <xf numFmtId="49" fontId="10" fillId="0" borderId="133" xfId="0" applyNumberFormat="1" applyFont="1" applyBorder="1" applyAlignment="1" applyProtection="1">
      <alignment vertical="center"/>
      <protection locked="0"/>
    </xf>
    <xf numFmtId="49" fontId="10" fillId="0" borderId="8"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vertical="center"/>
      <protection locked="0"/>
    </xf>
    <xf numFmtId="0" fontId="10" fillId="0" borderId="5" xfId="0" applyFont="1" applyBorder="1" applyAlignment="1" applyProtection="1">
      <alignment vertical="center"/>
      <protection locked="0"/>
    </xf>
    <xf numFmtId="38" fontId="10" fillId="0" borderId="158" xfId="0" applyNumberFormat="1" applyFont="1" applyBorder="1" applyAlignment="1" applyProtection="1">
      <alignment vertical="center"/>
      <protection locked="0"/>
    </xf>
    <xf numFmtId="49" fontId="10" fillId="0" borderId="6" xfId="0" applyNumberFormat="1" applyFont="1" applyBorder="1" applyAlignment="1" applyProtection="1">
      <alignment horizontal="center" vertical="center"/>
      <protection locked="0"/>
    </xf>
    <xf numFmtId="49" fontId="10" fillId="0" borderId="58"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vertical="center"/>
      <protection locked="0"/>
    </xf>
    <xf numFmtId="0" fontId="10" fillId="0" borderId="31" xfId="0" applyFont="1" applyBorder="1" applyAlignment="1" applyProtection="1">
      <alignment vertical="center"/>
      <protection locked="0"/>
    </xf>
    <xf numFmtId="38" fontId="10" fillId="0" borderId="140" xfId="0" applyNumberFormat="1" applyFont="1" applyBorder="1" applyAlignment="1" applyProtection="1">
      <alignment vertical="center"/>
      <protection locked="0"/>
    </xf>
    <xf numFmtId="49" fontId="10" fillId="0" borderId="39"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vertical="center"/>
      <protection locked="0"/>
    </xf>
    <xf numFmtId="0" fontId="10" fillId="0" borderId="22" xfId="0" applyFont="1" applyBorder="1" applyAlignment="1" applyProtection="1">
      <alignment vertical="center"/>
      <protection locked="0"/>
    </xf>
    <xf numFmtId="38" fontId="10" fillId="0" borderId="141" xfId="0" applyNumberFormat="1" applyFont="1" applyBorder="1" applyAlignment="1" applyProtection="1">
      <alignment vertical="center"/>
      <protection locked="0"/>
    </xf>
    <xf numFmtId="49" fontId="10" fillId="0" borderId="18"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vertical="center"/>
      <protection locked="0"/>
    </xf>
    <xf numFmtId="49" fontId="10" fillId="0" borderId="17" xfId="0" applyNumberFormat="1" applyFont="1" applyBorder="1" applyAlignment="1" applyProtection="1">
      <alignment vertical="center"/>
      <protection locked="0"/>
    </xf>
    <xf numFmtId="0" fontId="10" fillId="0" borderId="24" xfId="0" applyFont="1" applyBorder="1" applyAlignment="1" applyProtection="1">
      <alignment vertical="center"/>
      <protection locked="0"/>
    </xf>
    <xf numFmtId="38" fontId="10" fillId="0" borderId="142"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protection locked="0"/>
    </xf>
    <xf numFmtId="49" fontId="10" fillId="0" borderId="3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vertical="center"/>
      <protection locked="0"/>
    </xf>
    <xf numFmtId="0" fontId="10" fillId="0" borderId="21" xfId="0" applyFont="1" applyBorder="1" applyAlignment="1" applyProtection="1">
      <alignment vertical="center"/>
      <protection locked="0"/>
    </xf>
    <xf numFmtId="38" fontId="10" fillId="0" borderId="143" xfId="0" applyNumberFormat="1" applyFont="1" applyBorder="1" applyAlignment="1" applyProtection="1">
      <alignment vertical="center"/>
      <protection locked="0"/>
    </xf>
    <xf numFmtId="38" fontId="10" fillId="0" borderId="159" xfId="0" applyNumberFormat="1" applyFont="1" applyBorder="1" applyAlignment="1" applyProtection="1">
      <alignment vertical="center"/>
      <protection locked="0"/>
    </xf>
    <xf numFmtId="49" fontId="10" fillId="0" borderId="4"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45" xfId="0" applyNumberFormat="1" applyFont="1" applyBorder="1" applyAlignment="1" applyProtection="1">
      <alignment vertical="center"/>
      <protection locked="0"/>
    </xf>
    <xf numFmtId="49" fontId="10" fillId="0" borderId="59"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146" xfId="0" applyNumberFormat="1" applyFont="1" applyBorder="1" applyAlignment="1" applyProtection="1">
      <alignment horizontal="center" vertical="center"/>
      <protection locked="0"/>
    </xf>
    <xf numFmtId="0" fontId="10" fillId="0" borderId="1" xfId="0" applyFont="1" applyBorder="1" applyAlignment="1" applyProtection="1">
      <alignment vertical="center"/>
      <protection locked="0"/>
    </xf>
    <xf numFmtId="38" fontId="10" fillId="0" borderId="160"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38" fontId="10" fillId="0" borderId="161" xfId="0" applyNumberFormat="1" applyFont="1" applyBorder="1" applyAlignment="1" applyProtection="1">
      <alignment vertical="center"/>
      <protection locked="0"/>
    </xf>
    <xf numFmtId="200" fontId="10" fillId="0" borderId="12" xfId="0" applyNumberFormat="1" applyFont="1" applyBorder="1" applyAlignment="1" applyProtection="1">
      <alignment horizontal="right" vertical="center"/>
      <protection locked="0"/>
    </xf>
    <xf numFmtId="38" fontId="10" fillId="0" borderId="162" xfId="0" applyNumberFormat="1" applyFont="1" applyBorder="1" applyAlignment="1" applyProtection="1">
      <alignment vertical="center"/>
      <protection locked="0"/>
    </xf>
    <xf numFmtId="49" fontId="10" fillId="0" borderId="70"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vertical="center"/>
      <protection locked="0"/>
    </xf>
    <xf numFmtId="0" fontId="10" fillId="0" borderId="71" xfId="0" applyFont="1" applyBorder="1" applyAlignment="1" applyProtection="1">
      <alignment vertical="center"/>
      <protection locked="0"/>
    </xf>
    <xf numFmtId="38" fontId="10" fillId="0" borderId="163" xfId="0" applyNumberFormat="1" applyFont="1" applyBorder="1" applyAlignment="1" applyProtection="1">
      <alignment vertical="center"/>
      <protection locked="0"/>
    </xf>
    <xf numFmtId="49" fontId="10" fillId="0" borderId="12" xfId="0" applyNumberFormat="1" applyFont="1" applyBorder="1" applyAlignment="1" applyProtection="1">
      <alignment horizontal="right" vertical="center"/>
      <protection locked="0"/>
    </xf>
    <xf numFmtId="38" fontId="10" fillId="0" borderId="162" xfId="0" applyNumberFormat="1" applyFont="1" applyBorder="1" applyAlignment="1" applyProtection="1">
      <alignment vertical="center" wrapText="1"/>
      <protection locked="0"/>
    </xf>
    <xf numFmtId="49" fontId="10" fillId="0" borderId="14" xfId="0" applyNumberFormat="1" applyFont="1" applyBorder="1" applyAlignment="1" applyProtection="1">
      <alignment horizontal="center" vertical="center"/>
      <protection locked="0"/>
    </xf>
    <xf numFmtId="49" fontId="10" fillId="0" borderId="44" xfId="0" applyNumberFormat="1" applyFont="1" applyBorder="1" applyAlignment="1" applyProtection="1">
      <alignment horizontal="right" vertical="center"/>
      <protection locked="0"/>
    </xf>
    <xf numFmtId="49" fontId="10" fillId="0" borderId="122" xfId="0" applyNumberFormat="1" applyFont="1" applyBorder="1" applyAlignment="1" applyProtection="1">
      <alignment horizontal="center" vertical="center"/>
      <protection locked="0"/>
    </xf>
    <xf numFmtId="49" fontId="10" fillId="0" borderId="58" xfId="0" applyNumberFormat="1" applyFont="1" applyBorder="1" applyAlignment="1" applyProtection="1">
      <alignment vertical="center"/>
      <protection locked="0"/>
    </xf>
    <xf numFmtId="49" fontId="10" fillId="0" borderId="0" xfId="0" applyNumberFormat="1" applyFont="1" applyAlignment="1" applyProtection="1">
      <alignment vertical="center"/>
      <protection locked="0"/>
    </xf>
    <xf numFmtId="0" fontId="10" fillId="0" borderId="20" xfId="0" applyFont="1" applyBorder="1" applyAlignment="1" applyProtection="1">
      <alignment vertical="center"/>
      <protection locked="0"/>
    </xf>
    <xf numFmtId="49" fontId="10" fillId="0" borderId="13" xfId="0" applyNumberFormat="1" applyFont="1" applyBorder="1" applyAlignment="1" applyProtection="1">
      <alignment horizontal="center" vertical="center"/>
      <protection locked="0"/>
    </xf>
    <xf numFmtId="38" fontId="10" fillId="0" borderId="164" xfId="0" applyNumberFormat="1" applyFont="1" applyBorder="1" applyAlignment="1" applyProtection="1">
      <alignment vertical="center"/>
      <protection locked="0"/>
    </xf>
    <xf numFmtId="38" fontId="10" fillId="0" borderId="22" xfId="2" applyFont="1" applyFill="1" applyBorder="1" applyAlignment="1" applyProtection="1">
      <alignment horizontal="left" vertical="center" indent="2"/>
      <protection locked="0"/>
    </xf>
    <xf numFmtId="49" fontId="10" fillId="0" borderId="8" xfId="0" applyNumberFormat="1" applyFont="1" applyBorder="1" applyAlignment="1" applyProtection="1">
      <alignment vertical="center"/>
      <protection locked="0"/>
    </xf>
    <xf numFmtId="0" fontId="10" fillId="0" borderId="2" xfId="0" applyFont="1" applyBorder="1" applyAlignment="1" applyProtection="1">
      <alignment horizontal="centerContinuous" vertical="center" wrapText="1"/>
      <protection locked="0"/>
    </xf>
    <xf numFmtId="0" fontId="0" fillId="0" borderId="1" xfId="0" applyBorder="1" applyAlignment="1" applyProtection="1">
      <alignment horizontal="centerContinuous" vertical="center" wrapText="1"/>
      <protection locked="0"/>
    </xf>
    <xf numFmtId="49" fontId="8" fillId="0" borderId="3" xfId="0" applyNumberFormat="1" applyFont="1" applyBorder="1" applyAlignment="1" applyProtection="1">
      <alignment horizontal="right" vertical="center"/>
      <protection locked="0"/>
    </xf>
    <xf numFmtId="0" fontId="10" fillId="0" borderId="12" xfId="0" applyFont="1" applyBorder="1" applyAlignment="1" applyProtection="1">
      <alignment horizontal="right" vertical="center" wrapText="1"/>
      <protection locked="0"/>
    </xf>
    <xf numFmtId="0" fontId="8" fillId="0" borderId="22" xfId="0" applyFont="1" applyBorder="1" applyAlignment="1" applyProtection="1">
      <alignment vertical="center" wrapText="1"/>
      <protection locked="0"/>
    </xf>
    <xf numFmtId="38" fontId="10" fillId="0" borderId="141" xfId="0" applyNumberFormat="1" applyFont="1" applyBorder="1" applyAlignment="1" applyProtection="1">
      <alignment vertical="center" wrapText="1"/>
      <protection locked="0"/>
    </xf>
    <xf numFmtId="0" fontId="14" fillId="0" borderId="22" xfId="0" applyFont="1" applyBorder="1" applyAlignment="1" applyProtection="1">
      <alignment vertical="center" wrapText="1"/>
      <protection locked="0"/>
    </xf>
    <xf numFmtId="0" fontId="10" fillId="0" borderId="44" xfId="0" applyFont="1" applyBorder="1" applyAlignment="1" applyProtection="1">
      <alignment horizontal="right" vertical="center" wrapText="1"/>
      <protection locked="0"/>
    </xf>
    <xf numFmtId="0" fontId="8" fillId="0" borderId="71" xfId="0" applyFont="1" applyBorder="1" applyAlignment="1" applyProtection="1">
      <alignment vertical="center" wrapText="1"/>
      <protection locked="0"/>
    </xf>
    <xf numFmtId="38" fontId="10" fillId="0" borderId="134" xfId="0" applyNumberFormat="1" applyFont="1" applyBorder="1" applyAlignment="1" applyProtection="1">
      <alignment vertical="center" wrapText="1"/>
      <protection locked="0"/>
    </xf>
    <xf numFmtId="49" fontId="10" fillId="0" borderId="70" xfId="0" applyNumberFormat="1" applyFont="1" applyBorder="1" applyAlignment="1" applyProtection="1">
      <alignment vertical="center"/>
      <protection locked="0"/>
    </xf>
    <xf numFmtId="49" fontId="10" fillId="0" borderId="12" xfId="0" applyNumberFormat="1" applyFont="1" applyBorder="1" applyAlignment="1" applyProtection="1">
      <alignment vertical="center"/>
      <protection locked="0"/>
    </xf>
    <xf numFmtId="49" fontId="10" fillId="0" borderId="18" xfId="0" applyNumberFormat="1" applyFont="1" applyBorder="1" applyAlignment="1" applyProtection="1">
      <alignment vertical="center"/>
      <protection locked="0"/>
    </xf>
    <xf numFmtId="49" fontId="10" fillId="0" borderId="19" xfId="0" applyNumberFormat="1" applyFont="1" applyBorder="1" applyAlignment="1" applyProtection="1">
      <alignment vertical="center"/>
      <protection locked="0"/>
    </xf>
    <xf numFmtId="49" fontId="10" fillId="0" borderId="44" xfId="0" applyNumberFormat="1" applyFont="1" applyBorder="1" applyAlignment="1" applyProtection="1">
      <alignment vertical="center"/>
      <protection locked="0"/>
    </xf>
    <xf numFmtId="49" fontId="10" fillId="0" borderId="59" xfId="0" applyNumberFormat="1" applyFont="1" applyBorder="1" applyAlignment="1" applyProtection="1">
      <alignment vertical="center"/>
      <protection locked="0"/>
    </xf>
    <xf numFmtId="0" fontId="10" fillId="0" borderId="6" xfId="0" applyFont="1" applyBorder="1" applyAlignment="1" applyProtection="1">
      <alignment horizontal="center" vertical="center"/>
      <protection locked="0"/>
    </xf>
    <xf numFmtId="38" fontId="10" fillId="0" borderId="21" xfId="2" applyFont="1" applyFill="1" applyBorder="1" applyAlignment="1" applyProtection="1">
      <alignment horizontal="left" vertical="center" indent="2"/>
      <protection locked="0"/>
    </xf>
    <xf numFmtId="49" fontId="10" fillId="0" borderId="6" xfId="0" applyNumberFormat="1" applyFont="1" applyBorder="1" applyAlignment="1" applyProtection="1">
      <alignment vertical="center"/>
      <protection locked="0"/>
    </xf>
    <xf numFmtId="49" fontId="10" fillId="0" borderId="39" xfId="0" applyNumberFormat="1" applyFont="1" applyBorder="1" applyAlignment="1" applyProtection="1">
      <alignment vertical="center"/>
      <protection locked="0"/>
    </xf>
    <xf numFmtId="49" fontId="10" fillId="0" borderId="30" xfId="0" applyNumberFormat="1" applyFont="1" applyBorder="1" applyAlignment="1" applyProtection="1">
      <alignment vertical="center"/>
      <protection locked="0"/>
    </xf>
    <xf numFmtId="38" fontId="10" fillId="0" borderId="165" xfId="0" applyNumberFormat="1" applyFont="1" applyBorder="1" applyAlignment="1" applyProtection="1">
      <alignment vertical="center"/>
      <protection locked="0"/>
    </xf>
    <xf numFmtId="38" fontId="10" fillId="0" borderId="2" xfId="2" applyFont="1" applyFill="1" applyBorder="1" applyAlignment="1" applyProtection="1">
      <alignment vertical="center"/>
      <protection locked="0"/>
    </xf>
    <xf numFmtId="0" fontId="0" fillId="0" borderId="17" xfId="0" applyBorder="1" applyAlignment="1" applyProtection="1">
      <alignment vertical="center"/>
      <protection locked="0"/>
    </xf>
    <xf numFmtId="38" fontId="10" fillId="0" borderId="1" xfId="2" applyFont="1" applyFill="1" applyBorder="1" applyAlignment="1" applyProtection="1">
      <alignment vertical="center"/>
      <protection locked="0"/>
    </xf>
    <xf numFmtId="38" fontId="10" fillId="0" borderId="17" xfId="2" applyFont="1" applyFill="1" applyBorder="1" applyAlignment="1" applyProtection="1">
      <alignment vertical="center"/>
      <protection locked="0"/>
    </xf>
    <xf numFmtId="0" fontId="0" fillId="0" borderId="2" xfId="0" applyBorder="1" applyAlignment="1" applyProtection="1">
      <alignment vertical="center"/>
      <protection locked="0"/>
    </xf>
    <xf numFmtId="38" fontId="10" fillId="0" borderId="24" xfId="2" applyFont="1" applyFill="1" applyBorder="1" applyAlignment="1" applyProtection="1">
      <alignment vertical="center"/>
      <protection locked="0"/>
    </xf>
    <xf numFmtId="0" fontId="0" fillId="0" borderId="0" xfId="0" applyAlignment="1" applyProtection="1">
      <alignment vertical="center"/>
      <protection locked="0"/>
    </xf>
    <xf numFmtId="49" fontId="10" fillId="0" borderId="64" xfId="0" applyNumberFormat="1" applyFont="1" applyBorder="1" applyAlignment="1" applyProtection="1">
      <alignment vertical="center"/>
      <protection locked="0"/>
    </xf>
    <xf numFmtId="49" fontId="10" fillId="19" borderId="6" xfId="0" applyNumberFormat="1" applyFont="1" applyFill="1" applyBorder="1" applyAlignment="1" applyProtection="1">
      <alignment horizontal="center" vertical="center"/>
      <protection locked="0"/>
    </xf>
    <xf numFmtId="49" fontId="10" fillId="19" borderId="2" xfId="0" applyNumberFormat="1" applyFont="1" applyFill="1" applyBorder="1" applyAlignment="1" applyProtection="1">
      <alignment vertical="center"/>
      <protection locked="0"/>
    </xf>
    <xf numFmtId="49" fontId="10" fillId="19" borderId="1" xfId="0" applyNumberFormat="1" applyFont="1" applyFill="1" applyBorder="1" applyAlignment="1" applyProtection="1">
      <alignment vertical="center"/>
      <protection locked="0"/>
    </xf>
    <xf numFmtId="49" fontId="10" fillId="0" borderId="31" xfId="0" applyNumberFormat="1" applyFont="1" applyBorder="1" applyAlignment="1" applyProtection="1">
      <alignment vertical="center"/>
      <protection locked="0"/>
    </xf>
    <xf numFmtId="49" fontId="10" fillId="0" borderId="52" xfId="0" applyNumberFormat="1" applyFont="1" applyBorder="1" applyAlignment="1" applyProtection="1">
      <alignment vertical="center" wrapText="1"/>
      <protection locked="0"/>
    </xf>
    <xf numFmtId="49" fontId="10" fillId="0" borderId="21" xfId="0" applyNumberFormat="1" applyFont="1" applyBorder="1" applyAlignment="1" applyProtection="1">
      <alignment vertical="center"/>
      <protection locked="0"/>
    </xf>
    <xf numFmtId="49" fontId="10" fillId="0" borderId="54" xfId="0" applyNumberFormat="1" applyFont="1" applyBorder="1" applyAlignment="1" applyProtection="1">
      <alignment vertical="center" wrapText="1"/>
      <protection locked="0"/>
    </xf>
    <xf numFmtId="49" fontId="10" fillId="0" borderId="135" xfId="0" applyNumberFormat="1" applyFont="1" applyBorder="1" applyAlignment="1" applyProtection="1">
      <alignment horizontal="center" vertical="center"/>
      <protection locked="0"/>
    </xf>
    <xf numFmtId="38" fontId="10" fillId="0" borderId="147" xfId="0" applyNumberFormat="1" applyFont="1" applyBorder="1" applyAlignment="1" applyProtection="1">
      <alignment vertical="center"/>
      <protection locked="0"/>
    </xf>
    <xf numFmtId="201" fontId="15" fillId="0" borderId="1"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Continuous" vertical="center" wrapText="1"/>
      <protection locked="0"/>
    </xf>
    <xf numFmtId="0" fontId="3" fillId="0" borderId="2" xfId="0" applyFont="1" applyBorder="1" applyAlignment="1" applyProtection="1">
      <alignment horizontal="centerContinuous" vertical="center" wrapText="1"/>
      <protection locked="0"/>
    </xf>
    <xf numFmtId="0" fontId="3" fillId="0" borderId="1" xfId="0" applyFont="1" applyBorder="1" applyAlignment="1" applyProtection="1">
      <alignment horizontal="centerContinuous" vertical="center" wrapText="1"/>
      <protection locked="0"/>
    </xf>
    <xf numFmtId="38" fontId="10" fillId="0" borderId="160" xfId="0" applyNumberFormat="1" applyFont="1" applyBorder="1" applyAlignment="1" applyProtection="1">
      <alignment vertical="center" wrapText="1"/>
      <protection locked="0"/>
    </xf>
    <xf numFmtId="0" fontId="0" fillId="0" borderId="145" xfId="0" applyBorder="1" applyProtection="1">
      <protection locked="0"/>
    </xf>
    <xf numFmtId="0" fontId="0" fillId="0" borderId="0" xfId="0" applyProtection="1">
      <protection locked="0"/>
    </xf>
    <xf numFmtId="0" fontId="0" fillId="0" borderId="159" xfId="0" applyBorder="1" applyProtection="1">
      <protection locked="0"/>
    </xf>
    <xf numFmtId="0" fontId="3" fillId="0" borderId="132"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 xfId="0" applyFont="1" applyBorder="1" applyAlignment="1" applyProtection="1">
      <alignment vertical="center"/>
      <protection locked="0"/>
    </xf>
    <xf numFmtId="38" fontId="21" fillId="0" borderId="136" xfId="2" applyFont="1" applyBorder="1" applyAlignment="1" applyProtection="1">
      <alignment vertical="center"/>
      <protection locked="0"/>
    </xf>
    <xf numFmtId="0" fontId="21" fillId="0" borderId="136" xfId="0" applyFont="1" applyBorder="1" applyAlignment="1" applyProtection="1">
      <alignment vertical="center"/>
      <protection locked="0"/>
    </xf>
    <xf numFmtId="0" fontId="0" fillId="0" borderId="133" xfId="0" applyBorder="1" applyProtection="1">
      <protection locked="0"/>
    </xf>
    <xf numFmtId="0" fontId="3" fillId="22" borderId="135" xfId="0" applyFont="1" applyFill="1" applyBorder="1" applyAlignment="1" applyProtection="1">
      <alignment horizontal="centerContinuous" vertical="center"/>
      <protection locked="0"/>
    </xf>
    <xf numFmtId="0" fontId="3" fillId="22" borderId="2" xfId="0" applyFont="1" applyFill="1" applyBorder="1" applyAlignment="1" applyProtection="1">
      <alignment horizontal="centerContinuous" vertical="center"/>
      <protection locked="0"/>
    </xf>
    <xf numFmtId="0" fontId="3" fillId="22" borderId="1" xfId="0" applyFont="1" applyFill="1" applyBorder="1" applyAlignment="1" applyProtection="1">
      <alignment horizontal="centerContinuous" vertical="center"/>
      <protection locked="0"/>
    </xf>
    <xf numFmtId="0" fontId="3" fillId="22" borderId="7" xfId="0" applyFont="1" applyFill="1" applyBorder="1" applyAlignment="1" applyProtection="1">
      <alignment horizontal="center" vertical="center"/>
      <protection locked="0"/>
    </xf>
    <xf numFmtId="0" fontId="3" fillId="22" borderId="136" xfId="0" applyFont="1" applyFill="1" applyBorder="1" applyAlignment="1" applyProtection="1">
      <alignment horizontal="center" vertical="center" wrapText="1"/>
      <protection locked="0"/>
    </xf>
    <xf numFmtId="0" fontId="10" fillId="0" borderId="132" xfId="27" applyFont="1" applyBorder="1" applyAlignment="1" applyProtection="1">
      <alignment horizontal="center" vertical="center"/>
      <protection locked="0"/>
    </xf>
    <xf numFmtId="0" fontId="10" fillId="0" borderId="8" xfId="27" applyFont="1" applyBorder="1" applyProtection="1">
      <alignment vertical="center"/>
      <protection locked="0"/>
    </xf>
    <xf numFmtId="0" fontId="10" fillId="0" borderId="2" xfId="27" applyFont="1" applyBorder="1" applyProtection="1">
      <alignment vertical="center"/>
      <protection locked="0"/>
    </xf>
    <xf numFmtId="0" fontId="10" fillId="0" borderId="1" xfId="27" applyFont="1" applyBorder="1" applyProtection="1">
      <alignment vertical="center"/>
      <protection locked="0"/>
    </xf>
    <xf numFmtId="3" fontId="10" fillId="0" borderId="7" xfId="27" applyNumberFormat="1" applyFont="1" applyBorder="1" applyAlignment="1" applyProtection="1">
      <alignment horizontal="right" vertical="center"/>
      <protection locked="0"/>
    </xf>
    <xf numFmtId="3" fontId="3" fillId="0" borderId="136" xfId="1" applyNumberFormat="1" applyBorder="1" applyAlignment="1" applyProtection="1">
      <alignment horizontal="right" vertical="center"/>
      <protection locked="0"/>
    </xf>
    <xf numFmtId="0" fontId="10" fillId="0" borderId="148" xfId="27" applyFont="1" applyBorder="1" applyAlignment="1" applyProtection="1">
      <alignment horizontal="center" vertical="center"/>
      <protection locked="0"/>
    </xf>
    <xf numFmtId="0" fontId="10" fillId="0" borderId="149" xfId="27" applyFont="1" applyBorder="1" applyProtection="1">
      <alignment vertical="center"/>
      <protection locked="0"/>
    </xf>
    <xf numFmtId="0" fontId="10" fillId="0" borderId="150" xfId="27" applyFont="1" applyBorder="1" applyProtection="1">
      <alignment vertical="center"/>
      <protection locked="0"/>
    </xf>
    <xf numFmtId="0" fontId="10" fillId="0" borderId="151" xfId="27" applyFont="1" applyBorder="1" applyProtection="1">
      <alignment vertical="center"/>
      <protection locked="0"/>
    </xf>
    <xf numFmtId="3" fontId="10" fillId="0" borderId="166" xfId="27" applyNumberFormat="1" applyFont="1" applyBorder="1" applyAlignment="1" applyProtection="1">
      <alignment horizontal="right" vertical="center"/>
      <protection locked="0"/>
    </xf>
    <xf numFmtId="3" fontId="3" fillId="0" borderId="152" xfId="1" applyNumberFormat="1" applyBorder="1" applyAlignment="1" applyProtection="1">
      <alignment horizontal="right" vertical="center"/>
      <protection locked="0"/>
    </xf>
    <xf numFmtId="0" fontId="72" fillId="0" borderId="7" xfId="0" applyFont="1" applyBorder="1" applyAlignment="1" applyProtection="1">
      <alignment horizontal="center" vertical="center"/>
      <protection hidden="1"/>
    </xf>
    <xf numFmtId="0" fontId="7" fillId="0" borderId="1" xfId="0" applyFont="1" applyBorder="1" applyAlignment="1" applyProtection="1">
      <alignment vertical="center"/>
      <protection hidden="1"/>
    </xf>
    <xf numFmtId="0" fontId="0" fillId="0" borderId="8" xfId="0"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0" fillId="0" borderId="0" xfId="0"/>
    <xf numFmtId="0" fontId="7" fillId="0" borderId="3" xfId="0" applyFont="1" applyBorder="1" applyAlignment="1">
      <alignment vertical="center"/>
    </xf>
    <xf numFmtId="0" fontId="0" fillId="0" borderId="5" xfId="0" applyBorder="1" applyAlignment="1">
      <alignment vertical="center" wrapText="1"/>
    </xf>
    <xf numFmtId="0" fontId="10" fillId="0" borderId="8" xfId="0" applyFont="1" applyBorder="1" applyAlignment="1">
      <alignment vertical="center"/>
    </xf>
    <xf numFmtId="0" fontId="69" fillId="0" borderId="8" xfId="11" applyFont="1" applyBorder="1" applyAlignment="1">
      <alignment vertical="center" wrapText="1"/>
    </xf>
    <xf numFmtId="0" fontId="0" fillId="0" borderId="0" xfId="0" applyAlignment="1" applyProtection="1">
      <alignment vertical="center"/>
      <protection hidden="1"/>
    </xf>
    <xf numFmtId="185" fontId="10" fillId="0" borderId="0" xfId="0" applyNumberFormat="1" applyFont="1" applyAlignment="1">
      <alignment vertical="center"/>
    </xf>
    <xf numFmtId="0" fontId="10" fillId="0" borderId="0" xfId="23" applyFont="1" applyAlignment="1">
      <alignment vertical="center"/>
    </xf>
    <xf numFmtId="0" fontId="0" fillId="0" borderId="21" xfId="0" applyBorder="1" applyAlignment="1">
      <alignment vertical="center"/>
    </xf>
    <xf numFmtId="0" fontId="3" fillId="15" borderId="0" xfId="0" applyFont="1" applyFill="1"/>
    <xf numFmtId="0" fontId="0" fillId="10" borderId="0" xfId="0" applyFill="1"/>
    <xf numFmtId="0" fontId="0" fillId="10" borderId="7" xfId="0" applyFill="1" applyBorder="1"/>
    <xf numFmtId="0" fontId="16" fillId="0" borderId="128" xfId="0" applyFont="1" applyBorder="1" applyAlignment="1" applyProtection="1">
      <alignment horizontal="center" vertical="center"/>
      <protection hidden="1"/>
    </xf>
    <xf numFmtId="0" fontId="3" fillId="0" borderId="0" xfId="0" applyFont="1" applyBorder="1" applyAlignment="1">
      <alignment vertical="center"/>
    </xf>
    <xf numFmtId="0" fontId="10" fillId="0" borderId="0" xfId="0" applyFont="1" applyFill="1" applyAlignment="1" applyProtection="1">
      <alignment horizontal="left" vertical="center"/>
    </xf>
    <xf numFmtId="0" fontId="52" fillId="0" borderId="0" xfId="0"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0" fontId="7" fillId="0" borderId="3" xfId="0" applyFont="1" applyFill="1" applyBorder="1" applyAlignment="1" applyProtection="1">
      <alignment vertical="center"/>
    </xf>
    <xf numFmtId="49" fontId="8" fillId="0" borderId="6" xfId="0" applyNumberFormat="1" applyFont="1" applyFill="1" applyBorder="1" applyAlignment="1" applyProtection="1">
      <alignment horizontal="center" vertical="center"/>
    </xf>
    <xf numFmtId="49" fontId="0" fillId="0" borderId="6" xfId="0" applyNumberFormat="1" applyFont="1" applyBorder="1" applyAlignment="1">
      <alignment horizontal="center" vertical="center"/>
    </xf>
    <xf numFmtId="0" fontId="3" fillId="0" borderId="5" xfId="0" applyFont="1" applyBorder="1" applyAlignment="1">
      <alignment vertical="center"/>
    </xf>
    <xf numFmtId="49" fontId="8" fillId="0" borderId="18" xfId="0" applyNumberFormat="1" applyFont="1" applyBorder="1" applyAlignment="1">
      <alignment horizontal="center" vertical="center"/>
    </xf>
    <xf numFmtId="0" fontId="0" fillId="0" borderId="19" xfId="0" applyBorder="1" applyAlignment="1">
      <alignment vertical="center"/>
    </xf>
    <xf numFmtId="0" fontId="3" fillId="0" borderId="11" xfId="0" applyFont="1" applyBorder="1" applyAlignment="1">
      <alignment vertical="center"/>
    </xf>
    <xf numFmtId="0" fontId="3" fillId="0" borderId="21" xfId="0" applyFont="1" applyBorder="1" applyAlignment="1">
      <alignment vertical="center"/>
    </xf>
    <xf numFmtId="38" fontId="7" fillId="2" borderId="21" xfId="2" applyFont="1" applyFill="1" applyBorder="1" applyAlignment="1" applyProtection="1">
      <alignment vertical="center"/>
      <protection locked="0"/>
    </xf>
    <xf numFmtId="0" fontId="10" fillId="0" borderId="6" xfId="0" applyFont="1" applyBorder="1" applyAlignment="1">
      <alignment horizontal="centerContinuous" vertical="center"/>
    </xf>
    <xf numFmtId="0" fontId="52" fillId="0" borderId="32" xfId="0" applyFont="1" applyBorder="1" applyAlignment="1">
      <alignment horizontal="center" vertical="center"/>
    </xf>
    <xf numFmtId="0" fontId="10" fillId="24" borderId="73" xfId="0" applyFont="1" applyFill="1" applyBorder="1" applyAlignment="1" applyProtection="1">
      <alignment horizontal="center" vertical="center"/>
      <protection locked="0"/>
    </xf>
    <xf numFmtId="0" fontId="19" fillId="0" borderId="4" xfId="0" applyFont="1" applyBorder="1" applyAlignment="1">
      <alignment vertical="center"/>
    </xf>
    <xf numFmtId="0" fontId="10" fillId="0" borderId="3" xfId="0" applyFont="1" applyBorder="1" applyAlignment="1">
      <alignment horizontal="centerContinuous" vertical="center"/>
    </xf>
    <xf numFmtId="0" fontId="52" fillId="0" borderId="25" xfId="8" applyFont="1" applyBorder="1" applyAlignment="1" applyProtection="1">
      <alignment horizontal="center" vertical="center"/>
      <protection hidden="1"/>
    </xf>
    <xf numFmtId="0" fontId="0" fillId="0" borderId="20" xfId="0" applyBorder="1" applyAlignment="1">
      <alignment vertical="center"/>
    </xf>
    <xf numFmtId="0" fontId="0" fillId="0" borderId="16" xfId="0" applyBorder="1" applyAlignment="1">
      <alignment vertical="center"/>
    </xf>
    <xf numFmtId="14" fontId="10" fillId="24" borderId="25" xfId="0" applyNumberFormat="1" applyFont="1" applyFill="1" applyBorder="1" applyAlignment="1" applyProtection="1">
      <alignment horizontal="right" vertical="center"/>
      <protection locked="0"/>
    </xf>
    <xf numFmtId="0" fontId="8" fillId="0" borderId="10" xfId="0" applyFont="1" applyBorder="1" applyAlignment="1">
      <alignment horizontal="center" vertical="center"/>
    </xf>
    <xf numFmtId="0" fontId="10" fillId="24" borderId="25" xfId="0" applyFont="1" applyFill="1" applyBorder="1" applyAlignment="1" applyProtection="1">
      <alignment horizontal="right" vertical="center"/>
      <protection locked="0"/>
    </xf>
    <xf numFmtId="0" fontId="8" fillId="0" borderId="27" xfId="0" applyFont="1" applyBorder="1" applyAlignment="1">
      <alignment horizontal="center" vertical="center"/>
    </xf>
    <xf numFmtId="14" fontId="12" fillId="0" borderId="0" xfId="0" applyNumberFormat="1" applyFont="1" applyAlignment="1">
      <alignment vertical="center"/>
    </xf>
    <xf numFmtId="0" fontId="0" fillId="0" borderId="27" xfId="0" applyBorder="1" applyAlignment="1">
      <alignment vertical="center"/>
    </xf>
    <xf numFmtId="0" fontId="10" fillId="0" borderId="18" xfId="0" applyFont="1" applyBorder="1" applyAlignment="1">
      <alignment horizontal="centerContinuous" vertical="center"/>
    </xf>
    <xf numFmtId="0" fontId="10" fillId="0" borderId="128" xfId="0" applyFont="1" applyBorder="1" applyAlignment="1">
      <alignment vertical="center"/>
    </xf>
    <xf numFmtId="0" fontId="0" fillId="0" borderId="128" xfId="0" applyBorder="1" applyAlignment="1">
      <alignment vertical="center"/>
    </xf>
    <xf numFmtId="0" fontId="0" fillId="0" borderId="42" xfId="0" applyBorder="1" applyAlignment="1">
      <alignment vertical="center"/>
    </xf>
    <xf numFmtId="0" fontId="52" fillId="0" borderId="169" xfId="8" applyFont="1" applyBorder="1" applyAlignment="1" applyProtection="1">
      <alignment horizontal="center" vertical="center"/>
      <protection hidden="1"/>
    </xf>
    <xf numFmtId="0" fontId="7" fillId="0" borderId="0" xfId="0" applyFont="1" applyBorder="1" applyAlignment="1">
      <alignment vertical="center"/>
    </xf>
    <xf numFmtId="0" fontId="10" fillId="0" borderId="0" xfId="0" applyFont="1" applyBorder="1" applyAlignment="1">
      <alignment vertical="center"/>
    </xf>
    <xf numFmtId="0" fontId="8" fillId="0" borderId="0" xfId="0" applyFont="1" applyBorder="1" applyAlignment="1" applyProtection="1">
      <alignment horizontal="left" vertical="center"/>
      <protection hidden="1"/>
    </xf>
    <xf numFmtId="0" fontId="8" fillId="0" borderId="0" xfId="0" applyFont="1" applyBorder="1" applyAlignment="1">
      <alignment horizontal="left" vertical="center"/>
    </xf>
    <xf numFmtId="14" fontId="10" fillId="24" borderId="169" xfId="0" applyNumberFormat="1" applyFont="1" applyFill="1" applyBorder="1" applyAlignment="1" applyProtection="1">
      <alignment horizontal="right" vertical="center"/>
      <protection locked="0"/>
    </xf>
    <xf numFmtId="0" fontId="8" fillId="0" borderId="11" xfId="0" applyFont="1" applyBorder="1" applyAlignment="1">
      <alignment horizontal="center" vertical="center"/>
    </xf>
    <xf numFmtId="0" fontId="10" fillId="24" borderId="169" xfId="0" applyFont="1" applyFill="1" applyBorder="1" applyAlignment="1" applyProtection="1">
      <alignment horizontal="right" vertical="center"/>
      <protection locked="0"/>
    </xf>
    <xf numFmtId="0" fontId="8" fillId="0" borderId="28" xfId="0" applyFont="1" applyBorder="1" applyAlignment="1">
      <alignment horizontal="center" vertical="center"/>
    </xf>
    <xf numFmtId="0" fontId="0" fillId="0" borderId="124" xfId="0" applyBorder="1" applyAlignment="1">
      <alignment vertical="center"/>
    </xf>
    <xf numFmtId="0" fontId="7" fillId="0" borderId="128" xfId="0" applyFont="1" applyBorder="1" applyAlignment="1">
      <alignment vertical="center"/>
    </xf>
    <xf numFmtId="3" fontId="10" fillId="9" borderId="37" xfId="0" applyNumberFormat="1" applyFont="1" applyFill="1" applyBorder="1" applyAlignment="1" applyProtection="1">
      <alignment horizontal="center" vertical="center"/>
      <protection locked="0"/>
    </xf>
    <xf numFmtId="0" fontId="7" fillId="0" borderId="124" xfId="0" applyFont="1" applyBorder="1" applyAlignment="1">
      <alignment vertical="center"/>
    </xf>
    <xf numFmtId="0" fontId="10" fillId="25" borderId="6" xfId="8" applyFont="1" applyFill="1" applyBorder="1" applyAlignment="1">
      <alignment horizontal="center" vertical="center"/>
    </xf>
    <xf numFmtId="0" fontId="10" fillId="25" borderId="4" xfId="8" applyFont="1" applyFill="1" applyBorder="1" applyAlignment="1">
      <alignment horizontal="left" vertical="center" wrapText="1"/>
    </xf>
    <xf numFmtId="0" fontId="10" fillId="25" borderId="4" xfId="8" applyFont="1" applyFill="1" applyBorder="1" applyAlignment="1">
      <alignment horizontal="right" vertical="center" wrapText="1"/>
    </xf>
    <xf numFmtId="0" fontId="10" fillId="25" borderId="29" xfId="8" applyFont="1" applyFill="1" applyBorder="1" applyAlignment="1" applyProtection="1">
      <alignment horizontal="center" vertical="center"/>
      <protection hidden="1"/>
    </xf>
    <xf numFmtId="0" fontId="15" fillId="25" borderId="38" xfId="8" applyFont="1" applyFill="1" applyBorder="1" applyAlignment="1" applyProtection="1">
      <alignment horizontal="center" vertical="center"/>
      <protection hidden="1"/>
    </xf>
    <xf numFmtId="0" fontId="0" fillId="25" borderId="32" xfId="8" applyFont="1" applyFill="1" applyBorder="1" applyAlignment="1" applyProtection="1">
      <alignment horizontal="center" vertical="center"/>
      <protection locked="0"/>
    </xf>
    <xf numFmtId="0" fontId="21" fillId="25" borderId="0" xfId="8" applyFont="1" applyFill="1" applyAlignment="1">
      <alignment vertical="center" wrapText="1"/>
    </xf>
    <xf numFmtId="0" fontId="17" fillId="25" borderId="31" xfId="8" applyFont="1" applyFill="1" applyBorder="1" applyAlignment="1">
      <alignment horizontal="right" vertical="center"/>
    </xf>
    <xf numFmtId="0" fontId="10" fillId="25" borderId="3" xfId="8" applyFont="1" applyFill="1" applyBorder="1" applyAlignment="1">
      <alignment horizontal="center" vertical="center"/>
    </xf>
    <xf numFmtId="0" fontId="10" fillId="25" borderId="39" xfId="8" applyFont="1" applyFill="1" applyBorder="1" applyAlignment="1" applyProtection="1">
      <alignment vertical="center"/>
      <protection hidden="1"/>
    </xf>
    <xf numFmtId="0" fontId="15" fillId="25" borderId="27" xfId="8" applyFont="1" applyFill="1" applyBorder="1" applyAlignment="1" applyProtection="1">
      <alignment horizontal="center" vertical="center"/>
      <protection hidden="1"/>
    </xf>
    <xf numFmtId="0" fontId="10" fillId="25" borderId="25" xfId="8" applyFont="1" applyFill="1" applyBorder="1" applyAlignment="1" applyProtection="1">
      <alignment vertical="center"/>
      <protection locked="0"/>
    </xf>
    <xf numFmtId="0" fontId="10" fillId="25" borderId="10" xfId="8" applyFont="1" applyFill="1" applyBorder="1" applyAlignment="1">
      <alignment vertical="center"/>
    </xf>
    <xf numFmtId="0" fontId="17" fillId="25" borderId="22" xfId="8" applyFont="1" applyFill="1" applyBorder="1" applyAlignment="1">
      <alignment horizontal="right" vertical="center"/>
    </xf>
    <xf numFmtId="0" fontId="10" fillId="25" borderId="18" xfId="8" applyFont="1" applyFill="1" applyBorder="1" applyAlignment="1">
      <alignment horizontal="center" vertical="center"/>
    </xf>
    <xf numFmtId="0" fontId="10" fillId="25" borderId="18" xfId="8" applyFont="1" applyFill="1" applyBorder="1" applyAlignment="1" applyProtection="1">
      <alignment vertical="center"/>
      <protection hidden="1"/>
    </xf>
    <xf numFmtId="0" fontId="15" fillId="25" borderId="42" xfId="8" applyFont="1" applyFill="1" applyBorder="1" applyAlignment="1" applyProtection="1">
      <alignment horizontal="center" vertical="center"/>
      <protection hidden="1"/>
    </xf>
    <xf numFmtId="0" fontId="10" fillId="25" borderId="67" xfId="8" applyFont="1" applyFill="1" applyBorder="1" applyAlignment="1" applyProtection="1">
      <alignment vertical="center"/>
      <protection locked="0"/>
    </xf>
    <xf numFmtId="0" fontId="10" fillId="25" borderId="17" xfId="8" applyFont="1" applyFill="1" applyBorder="1" applyAlignment="1">
      <alignment vertical="center"/>
    </xf>
    <xf numFmtId="0" fontId="17" fillId="25" borderId="24" xfId="8" applyFont="1" applyFill="1" applyBorder="1" applyAlignment="1">
      <alignment horizontal="right" vertical="center"/>
    </xf>
    <xf numFmtId="0" fontId="52" fillId="0" borderId="74" xfId="8" applyFont="1" applyBorder="1" applyAlignment="1" applyProtection="1">
      <alignment horizontal="center" vertical="center"/>
      <protection hidden="1"/>
    </xf>
    <xf numFmtId="178" fontId="3" fillId="2" borderId="170" xfId="8" applyNumberFormat="1" applyFont="1" applyFill="1" applyBorder="1" applyAlignment="1" applyProtection="1">
      <alignment horizontal="right" vertical="center"/>
      <protection locked="0"/>
    </xf>
    <xf numFmtId="0" fontId="0" fillId="0" borderId="0" xfId="8" applyFont="1" applyAlignment="1">
      <alignment vertical="center"/>
    </xf>
    <xf numFmtId="0" fontId="10" fillId="0" borderId="23" xfId="8" applyFont="1" applyBorder="1" applyAlignment="1">
      <alignment horizontal="right" vertical="center" wrapText="1"/>
    </xf>
    <xf numFmtId="0" fontId="3" fillId="2" borderId="33" xfId="8" applyFont="1" applyFill="1" applyBorder="1" applyAlignment="1" applyProtection="1">
      <alignment horizontal="right" vertical="center"/>
      <protection locked="0"/>
    </xf>
    <xf numFmtId="0" fontId="3" fillId="0" borderId="23" xfId="8" applyFont="1" applyBorder="1" applyAlignment="1">
      <alignment horizontal="right" vertical="center"/>
    </xf>
    <xf numFmtId="0" fontId="3" fillId="2" borderId="25" xfId="8" applyFont="1" applyFill="1" applyBorder="1" applyAlignment="1" applyProtection="1">
      <alignment horizontal="right" vertical="center"/>
      <protection locked="0"/>
    </xf>
    <xf numFmtId="0" fontId="3" fillId="0" borderId="0" xfId="8" applyFont="1" applyFill="1" applyAlignment="1">
      <alignment vertical="center"/>
    </xf>
    <xf numFmtId="0" fontId="10" fillId="14" borderId="3" xfId="28" applyFont="1" applyFill="1" applyBorder="1" applyAlignment="1">
      <alignment horizontal="center" vertical="center" wrapText="1"/>
    </xf>
    <xf numFmtId="0" fontId="10" fillId="14" borderId="0" xfId="28" applyFont="1" applyFill="1" applyBorder="1" applyAlignment="1">
      <alignment horizontal="left" vertical="center" wrapText="1"/>
    </xf>
    <xf numFmtId="0" fontId="10" fillId="14" borderId="0" xfId="28" applyFont="1" applyFill="1" applyBorder="1" applyAlignment="1">
      <alignment vertical="center" wrapText="1"/>
    </xf>
    <xf numFmtId="0" fontId="3" fillId="2" borderId="53" xfId="28" applyFill="1" applyBorder="1" applyProtection="1">
      <alignment vertical="center"/>
      <protection locked="0"/>
    </xf>
    <xf numFmtId="0" fontId="10" fillId="0" borderId="0" xfId="0" applyFont="1" applyFill="1" applyAlignment="1">
      <alignment vertical="center"/>
    </xf>
    <xf numFmtId="0" fontId="0" fillId="14" borderId="0" xfId="28" applyFont="1" applyFill="1">
      <alignment vertical="center"/>
    </xf>
    <xf numFmtId="0" fontId="17" fillId="0" borderId="0" xfId="31" applyFont="1" applyAlignment="1" applyProtection="1">
      <alignment horizontal="left" vertical="center"/>
      <protection hidden="1"/>
    </xf>
    <xf numFmtId="0" fontId="10" fillId="14" borderId="7" xfId="28" applyFont="1" applyFill="1" applyBorder="1" applyAlignment="1">
      <alignment horizontal="center" vertical="center"/>
    </xf>
    <xf numFmtId="0" fontId="10" fillId="14" borderId="6" xfId="28" applyFont="1" applyFill="1" applyBorder="1" applyAlignment="1">
      <alignment horizontal="center" vertical="center"/>
    </xf>
    <xf numFmtId="0" fontId="10" fillId="14" borderId="5" xfId="28" applyFont="1" applyFill="1" applyBorder="1">
      <alignment vertical="center"/>
    </xf>
    <xf numFmtId="0" fontId="15" fillId="0" borderId="52" xfId="8" applyFont="1" applyBorder="1" applyAlignment="1" applyProtection="1">
      <alignment horizontal="center" vertical="center"/>
      <protection hidden="1"/>
    </xf>
    <xf numFmtId="0" fontId="15" fillId="0" borderId="53" xfId="8" applyFont="1" applyBorder="1" applyAlignment="1" applyProtection="1">
      <alignment horizontal="center" vertical="center"/>
      <protection hidden="1"/>
    </xf>
    <xf numFmtId="0" fontId="10" fillId="14" borderId="20" xfId="28" applyFont="1" applyFill="1" applyBorder="1" applyAlignment="1">
      <alignment horizontal="right" vertical="center"/>
    </xf>
    <xf numFmtId="3" fontId="0" fillId="2" borderId="30" xfId="28" applyNumberFormat="1" applyFont="1" applyFill="1" applyBorder="1" applyAlignment="1" applyProtection="1">
      <alignment horizontal="left" vertical="center"/>
      <protection locked="0"/>
    </xf>
    <xf numFmtId="0" fontId="15" fillId="0" borderId="54" xfId="8" applyFont="1" applyBorder="1" applyAlignment="1" applyProtection="1">
      <alignment horizontal="center" vertical="center"/>
      <protection hidden="1"/>
    </xf>
    <xf numFmtId="3" fontId="3" fillId="2" borderId="21" xfId="28" applyNumberFormat="1" applyFill="1" applyBorder="1" applyAlignment="1" applyProtection="1">
      <alignment horizontal="right" vertical="center"/>
      <protection locked="0"/>
    </xf>
    <xf numFmtId="3" fontId="3" fillId="3" borderId="124" xfId="28" applyNumberFormat="1" applyFill="1" applyBorder="1" applyProtection="1">
      <alignment vertical="center"/>
      <protection hidden="1"/>
    </xf>
    <xf numFmtId="0" fontId="10" fillId="14" borderId="29" xfId="28" applyFont="1" applyFill="1" applyBorder="1" applyAlignment="1">
      <alignment vertical="center" wrapText="1"/>
    </xf>
    <xf numFmtId="0" fontId="10" fillId="14" borderId="59" xfId="28" applyFont="1" applyFill="1" applyBorder="1" applyAlignment="1">
      <alignment horizontal="center" vertical="center"/>
    </xf>
    <xf numFmtId="0" fontId="0" fillId="0" borderId="0" xfId="0"/>
    <xf numFmtId="38" fontId="7" fillId="2" borderId="5" xfId="2" applyFont="1" applyFill="1" applyBorder="1" applyAlignment="1" applyProtection="1">
      <alignment vertical="center"/>
      <protection locked="0"/>
    </xf>
    <xf numFmtId="0" fontId="0" fillId="0" borderId="0" xfId="0" applyFill="1"/>
    <xf numFmtId="0" fontId="0" fillId="0" borderId="0" xfId="0" applyFill="1" applyAlignment="1" applyProtection="1">
      <alignment vertical="center"/>
      <protection hidden="1"/>
    </xf>
    <xf numFmtId="0" fontId="12"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0" fontId="0" fillId="0" borderId="0" xfId="0"/>
    <xf numFmtId="0" fontId="0" fillId="0" borderId="7" xfId="0" applyBorder="1" applyAlignment="1">
      <alignment horizontal="center"/>
    </xf>
    <xf numFmtId="178" fontId="0" fillId="0" borderId="7" xfId="0" applyNumberFormat="1" applyBorder="1" applyAlignment="1">
      <alignment horizontal="center"/>
    </xf>
    <xf numFmtId="178" fontId="0" fillId="0" borderId="4" xfId="0" applyNumberFormat="1" applyBorder="1" applyAlignment="1">
      <alignment horizontal="center"/>
    </xf>
    <xf numFmtId="178" fontId="72" fillId="0" borderId="7" xfId="0" applyNumberFormat="1" applyFont="1" applyBorder="1" applyAlignment="1">
      <alignment horizontal="center"/>
    </xf>
    <xf numFmtId="178" fontId="0" fillId="0" borderId="7" xfId="0" applyNumberFormat="1" applyBorder="1" applyAlignment="1">
      <alignment horizontal="center" vertical="center"/>
    </xf>
    <xf numFmtId="0" fontId="0" fillId="0" borderId="0" xfId="0"/>
    <xf numFmtId="0" fontId="0" fillId="0" borderId="0" xfId="0"/>
    <xf numFmtId="9" fontId="0" fillId="0" borderId="7" xfId="1" applyFont="1" applyBorder="1" applyAlignment="1">
      <alignment vertical="center"/>
    </xf>
    <xf numFmtId="0" fontId="3" fillId="10" borderId="0" xfId="0" applyFont="1" applyFill="1"/>
    <xf numFmtId="0" fontId="0" fillId="0" borderId="77" xfId="0" applyBorder="1" applyAlignment="1">
      <alignment horizontal="left" vertical="center" wrapText="1"/>
    </xf>
    <xf numFmtId="0" fontId="7" fillId="0" borderId="171" xfId="0" applyFont="1" applyBorder="1" applyAlignment="1">
      <alignment vertical="center"/>
    </xf>
    <xf numFmtId="0" fontId="61" fillId="0" borderId="0" xfId="0" applyFont="1" applyBorder="1" applyAlignment="1">
      <alignment vertical="center"/>
    </xf>
    <xf numFmtId="0" fontId="7" fillId="0" borderId="172" xfId="0" applyFont="1" applyBorder="1" applyAlignment="1">
      <alignment vertical="center"/>
    </xf>
    <xf numFmtId="0" fontId="8" fillId="0" borderId="0" xfId="0" applyFont="1" applyBorder="1" applyAlignment="1">
      <alignment vertical="center"/>
    </xf>
    <xf numFmtId="0" fontId="7" fillId="0" borderId="173" xfId="0" applyFont="1" applyBorder="1" applyAlignment="1">
      <alignment horizontal="centerContinuous" vertical="center"/>
    </xf>
    <xf numFmtId="0" fontId="7" fillId="0" borderId="174" xfId="0" applyFont="1" applyBorder="1" applyAlignment="1">
      <alignment horizontal="centerContinuous" vertical="center"/>
    </xf>
    <xf numFmtId="0" fontId="7" fillId="0" borderId="175" xfId="0" applyFont="1" applyBorder="1" applyAlignment="1">
      <alignment horizontal="centerContinuous" vertical="center"/>
    </xf>
    <xf numFmtId="0" fontId="7" fillId="0" borderId="174" xfId="0" applyFont="1" applyBorder="1" applyAlignment="1">
      <alignment vertical="center"/>
    </xf>
    <xf numFmtId="0" fontId="0" fillId="0" borderId="0" xfId="0"/>
    <xf numFmtId="38" fontId="7" fillId="0" borderId="8" xfId="0" applyNumberFormat="1" applyFont="1" applyBorder="1" applyAlignment="1" applyProtection="1">
      <alignment horizontal="center" vertical="center" wrapText="1"/>
      <protection hidden="1"/>
    </xf>
    <xf numFmtId="0" fontId="10" fillId="0" borderId="22" xfId="8" applyFont="1" applyBorder="1" applyAlignment="1">
      <alignment horizontal="right" vertical="center" wrapText="1"/>
    </xf>
    <xf numFmtId="0" fontId="10" fillId="0" borderId="12" xfId="8" applyFont="1" applyBorder="1" applyAlignment="1">
      <alignment horizontal="right" vertical="center" wrapText="1"/>
    </xf>
    <xf numFmtId="0" fontId="47" fillId="0" borderId="0" xfId="0" quotePrefix="1" applyFont="1" applyAlignment="1">
      <alignment vertical="center"/>
    </xf>
    <xf numFmtId="0" fontId="0" fillId="0" borderId="0" xfId="0"/>
    <xf numFmtId="0" fontId="3" fillId="17" borderId="74" xfId="8" applyFont="1" applyFill="1" applyBorder="1" applyAlignment="1">
      <alignment horizontal="center" vertical="center"/>
    </xf>
    <xf numFmtId="178" fontId="3" fillId="2" borderId="25" xfId="8" applyNumberFormat="1" applyFont="1" applyFill="1" applyBorder="1" applyAlignment="1" applyProtection="1">
      <alignment horizontal="right" vertical="center"/>
      <protection locked="0"/>
    </xf>
    <xf numFmtId="178" fontId="3" fillId="2" borderId="33" xfId="8" applyNumberFormat="1" applyFont="1" applyFill="1" applyBorder="1" applyAlignment="1" applyProtection="1">
      <alignment horizontal="right" vertical="center"/>
      <protection locked="0"/>
    </xf>
    <xf numFmtId="0" fontId="10" fillId="0" borderId="26" xfId="8" applyFont="1" applyBorder="1" applyAlignment="1">
      <alignment horizontal="right" vertical="center" wrapText="1"/>
    </xf>
    <xf numFmtId="49" fontId="10" fillId="0" borderId="19" xfId="0" applyNumberFormat="1" applyFont="1" applyBorder="1" applyAlignment="1" applyProtection="1">
      <alignment horizontal="right" vertical="center"/>
      <protection locked="0"/>
    </xf>
    <xf numFmtId="0" fontId="3" fillId="18" borderId="0" xfId="28" applyFill="1" applyProtection="1">
      <alignment vertical="center"/>
      <protection hidden="1"/>
    </xf>
    <xf numFmtId="0" fontId="10" fillId="18" borderId="3" xfId="28" applyFont="1" applyFill="1" applyBorder="1" applyAlignment="1" applyProtection="1">
      <alignment horizontal="center" vertical="center"/>
      <protection hidden="1"/>
    </xf>
    <xf numFmtId="0" fontId="10" fillId="18" borderId="20" xfId="28" applyFont="1" applyFill="1" applyBorder="1" applyProtection="1">
      <alignment vertical="center"/>
      <protection hidden="1"/>
    </xf>
    <xf numFmtId="0" fontId="10" fillId="18" borderId="58" xfId="28" applyFont="1" applyFill="1" applyBorder="1" applyProtection="1">
      <alignment vertical="center"/>
      <protection hidden="1"/>
    </xf>
    <xf numFmtId="0" fontId="10" fillId="18" borderId="39" xfId="28" applyFont="1" applyFill="1" applyBorder="1" applyProtection="1">
      <alignment vertical="center"/>
      <protection hidden="1"/>
    </xf>
    <xf numFmtId="0" fontId="10" fillId="18" borderId="53" xfId="28" applyFont="1" applyFill="1" applyBorder="1" applyProtection="1">
      <alignment vertical="center"/>
      <protection hidden="1"/>
    </xf>
    <xf numFmtId="3" fontId="3" fillId="18" borderId="22" xfId="28" applyNumberFormat="1" applyFill="1" applyBorder="1" applyAlignment="1" applyProtection="1">
      <alignment horizontal="right" vertical="center"/>
      <protection hidden="1"/>
    </xf>
    <xf numFmtId="0" fontId="10" fillId="18" borderId="3" xfId="28" applyFont="1" applyFill="1" applyBorder="1" applyProtection="1">
      <alignment vertical="center"/>
      <protection hidden="1"/>
    </xf>
    <xf numFmtId="0" fontId="3" fillId="18" borderId="0" xfId="28" applyFill="1" applyAlignment="1" applyProtection="1">
      <alignment horizontal="right" vertical="center"/>
      <protection hidden="1"/>
    </xf>
    <xf numFmtId="0" fontId="10" fillId="18" borderId="0" xfId="28" applyFont="1" applyFill="1" applyProtection="1">
      <alignment vertical="center"/>
      <protection hidden="1"/>
    </xf>
    <xf numFmtId="0" fontId="69" fillId="0" borderId="39" xfId="0" applyFont="1" applyBorder="1" applyAlignment="1" applyProtection="1">
      <alignment vertical="center"/>
      <protection hidden="1"/>
    </xf>
    <xf numFmtId="49" fontId="69" fillId="0" borderId="2" xfId="0" applyNumberFormat="1" applyFont="1" applyBorder="1" applyAlignment="1" applyProtection="1">
      <alignment vertical="center"/>
      <protection hidden="1"/>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0" xfId="0" applyAlignment="1">
      <alignment vertical="center"/>
    </xf>
    <xf numFmtId="0" fontId="7" fillId="0" borderId="3" xfId="0" applyFont="1" applyBorder="1" applyAlignment="1">
      <alignment vertical="center"/>
    </xf>
    <xf numFmtId="0" fontId="47" fillId="0" borderId="0" xfId="0" applyFont="1" applyAlignment="1">
      <alignment vertical="center"/>
    </xf>
    <xf numFmtId="0" fontId="1" fillId="0" borderId="7" xfId="33" applyBorder="1" applyAlignment="1">
      <alignment horizontal="center" vertical="center"/>
    </xf>
    <xf numFmtId="0" fontId="1" fillId="20" borderId="7" xfId="33" applyFill="1" applyBorder="1" applyAlignment="1">
      <alignment horizontal="center" vertical="center"/>
    </xf>
    <xf numFmtId="0" fontId="1" fillId="0" borderId="0" xfId="33" applyAlignment="1">
      <alignment horizontal="center" vertical="center"/>
    </xf>
    <xf numFmtId="0" fontId="1" fillId="0" borderId="7" xfId="33" applyBorder="1">
      <alignment vertical="center"/>
    </xf>
    <xf numFmtId="0" fontId="1" fillId="0" borderId="7" xfId="33" applyBorder="1" applyAlignment="1">
      <alignment horizontal="right" vertical="center"/>
    </xf>
    <xf numFmtId="0" fontId="1" fillId="0" borderId="0" xfId="33">
      <alignment vertical="center"/>
    </xf>
    <xf numFmtId="185" fontId="27" fillId="0" borderId="0" xfId="0" applyNumberFormat="1" applyFont="1" applyAlignment="1">
      <alignment horizontal="right" vertical="center"/>
    </xf>
    <xf numFmtId="185" fontId="50" fillId="0" borderId="0" xfId="0" applyNumberFormat="1" applyFont="1" applyAlignment="1">
      <alignment horizontal="right" vertical="center"/>
    </xf>
    <xf numFmtId="0" fontId="50" fillId="0" borderId="0" xfId="0" applyFont="1" applyAlignment="1">
      <alignment horizontal="left" vertical="center"/>
    </xf>
    <xf numFmtId="0" fontId="28" fillId="0" borderId="8" xfId="0" applyFont="1" applyBorder="1" applyAlignment="1">
      <alignment horizontal="left" vertical="center" wrapText="1"/>
    </xf>
    <xf numFmtId="0" fontId="28" fillId="0" borderId="2" xfId="0" applyFont="1" applyBorder="1" applyAlignment="1">
      <alignment horizontal="left" vertical="center"/>
    </xf>
    <xf numFmtId="0" fontId="28" fillId="0" borderId="1" xfId="0" applyFont="1" applyBorder="1" applyAlignment="1">
      <alignment horizontal="left" vertical="center"/>
    </xf>
    <xf numFmtId="0" fontId="15" fillId="0" borderId="3" xfId="0" applyFont="1" applyBorder="1" applyAlignment="1">
      <alignmen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7" fillId="0" borderId="5" xfId="0" applyFont="1" applyBorder="1" applyAlignment="1">
      <alignment vertical="center" wrapText="1"/>
    </xf>
    <xf numFmtId="0" fontId="7" fillId="0" borderId="20" xfId="0" applyFont="1" applyBorder="1" applyAlignment="1">
      <alignment vertical="center" wrapText="1"/>
    </xf>
    <xf numFmtId="0" fontId="7" fillId="0" borderId="24" xfId="0" applyFont="1" applyBorder="1" applyAlignment="1">
      <alignment vertical="center" wrapText="1"/>
    </xf>
    <xf numFmtId="0" fontId="16" fillId="0" borderId="74" xfId="0" applyFont="1" applyBorder="1" applyAlignment="1" applyProtection="1">
      <alignment horizontal="center" vertical="center"/>
      <protection hidden="1"/>
    </xf>
    <xf numFmtId="0" fontId="16" fillId="0" borderId="48" xfId="0" applyFont="1" applyBorder="1" applyAlignment="1" applyProtection="1">
      <alignment horizontal="center" vertical="center"/>
      <protection hidden="1"/>
    </xf>
    <xf numFmtId="0" fontId="16" fillId="0" borderId="42" xfId="0" applyFont="1" applyBorder="1" applyAlignment="1" applyProtection="1">
      <alignment horizontal="center" vertical="center"/>
      <protection hidden="1"/>
    </xf>
    <xf numFmtId="0" fontId="10" fillId="2" borderId="75" xfId="0" applyFont="1" applyFill="1" applyBorder="1" applyAlignment="1" applyProtection="1">
      <alignment horizontal="left" vertical="center" wrapText="1"/>
      <protection locked="0"/>
    </xf>
    <xf numFmtId="0" fontId="10" fillId="2" borderId="76" xfId="0" applyFont="1" applyFill="1" applyBorder="1" applyAlignment="1" applyProtection="1">
      <alignment horizontal="left" vertical="center" wrapText="1"/>
      <protection locked="0"/>
    </xf>
    <xf numFmtId="0" fontId="10" fillId="2" borderId="65" xfId="0" applyFont="1" applyFill="1" applyBorder="1" applyAlignment="1" applyProtection="1">
      <alignment horizontal="left" vertical="center" wrapText="1"/>
      <protection locked="0"/>
    </xf>
    <xf numFmtId="0" fontId="22" fillId="0" borderId="8"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7" fillId="8" borderId="0" xfId="0" applyFont="1" applyFill="1" applyAlignment="1">
      <alignment horizontal="center" vertical="center"/>
    </xf>
    <xf numFmtId="0" fontId="0" fillId="0" borderId="17" xfId="0" applyBorder="1" applyAlignment="1">
      <alignment vertical="center"/>
    </xf>
    <xf numFmtId="0" fontId="10" fillId="0" borderId="4" xfId="0" applyFont="1" applyFill="1" applyBorder="1" applyAlignment="1" applyProtection="1">
      <alignment vertical="center" shrinkToFit="1"/>
    </xf>
    <xf numFmtId="0" fontId="10" fillId="0" borderId="5" xfId="0" applyFont="1" applyFill="1" applyBorder="1" applyAlignment="1" applyProtection="1">
      <alignment vertical="center" shrinkToFit="1"/>
    </xf>
    <xf numFmtId="0" fontId="21" fillId="0" borderId="3" xfId="0" applyFont="1" applyBorder="1" applyAlignment="1">
      <alignment vertical="center"/>
    </xf>
    <xf numFmtId="0" fontId="0" fillId="0" borderId="0" xfId="0" applyAlignment="1">
      <alignment vertical="center"/>
    </xf>
    <xf numFmtId="0" fontId="10" fillId="0" borderId="3" xfId="0" applyFont="1" applyBorder="1" applyAlignment="1">
      <alignment vertical="center"/>
    </xf>
    <xf numFmtId="0" fontId="9" fillId="0" borderId="15" xfId="0" applyFont="1" applyBorder="1" applyAlignment="1">
      <alignment vertical="center" wrapText="1"/>
    </xf>
    <xf numFmtId="0" fontId="9" fillId="0" borderId="31" xfId="0" applyFont="1" applyBorder="1" applyAlignment="1">
      <alignment vertical="center" wrapText="1"/>
    </xf>
    <xf numFmtId="0" fontId="9" fillId="4" borderId="4" xfId="0" applyFont="1" applyFill="1" applyBorder="1" applyAlignment="1">
      <alignment vertical="center" wrapText="1"/>
    </xf>
    <xf numFmtId="0" fontId="0" fillId="8" borderId="0" xfId="0" applyFill="1" applyAlignment="1">
      <alignment horizontal="center" vertical="center" wrapText="1"/>
    </xf>
    <xf numFmtId="0" fontId="0" fillId="0" borderId="17" xfId="0" applyBorder="1" applyAlignment="1">
      <alignment vertical="center" wrapText="1"/>
    </xf>
    <xf numFmtId="0" fontId="52" fillId="0" borderId="3" xfId="0" applyFont="1" applyBorder="1" applyAlignment="1">
      <alignment vertical="center"/>
    </xf>
    <xf numFmtId="0" fontId="61" fillId="0" borderId="0" xfId="0" applyFont="1" applyAlignment="1">
      <alignment vertical="center"/>
    </xf>
    <xf numFmtId="0" fontId="0" fillId="0" borderId="12" xfId="0" applyFont="1" applyBorder="1" applyAlignment="1">
      <alignment vertical="center" wrapText="1"/>
    </xf>
    <xf numFmtId="0" fontId="0" fillId="0" borderId="22" xfId="0" applyFont="1" applyBorder="1" applyAlignment="1">
      <alignment vertical="center" wrapText="1"/>
    </xf>
    <xf numFmtId="0" fontId="10" fillId="0" borderId="12" xfId="0" applyFont="1" applyBorder="1" applyAlignment="1">
      <alignment vertical="center" wrapText="1"/>
    </xf>
    <xf numFmtId="0" fontId="10" fillId="0" borderId="22" xfId="0" applyFont="1" applyBorder="1" applyAlignment="1">
      <alignment vertical="center" wrapText="1"/>
    </xf>
    <xf numFmtId="0" fontId="10" fillId="0" borderId="7" xfId="0" applyFont="1" applyBorder="1" applyAlignment="1">
      <alignment horizontal="center" vertical="center"/>
    </xf>
    <xf numFmtId="0" fontId="10" fillId="0" borderId="7" xfId="0" applyFont="1" applyBorder="1" applyAlignment="1">
      <alignment vertical="center" wrapText="1"/>
    </xf>
    <xf numFmtId="0" fontId="10" fillId="2" borderId="12"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wrapText="1"/>
      <protection locked="0"/>
    </xf>
    <xf numFmtId="0" fontId="10" fillId="0" borderId="8"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12" borderId="8" xfId="0" applyFont="1" applyFill="1" applyBorder="1" applyAlignment="1">
      <alignment vertical="center" wrapText="1"/>
    </xf>
    <xf numFmtId="0" fontId="10" fillId="12" borderId="2" xfId="0" applyFont="1" applyFill="1" applyBorder="1" applyAlignment="1">
      <alignment vertical="center"/>
    </xf>
    <xf numFmtId="0" fontId="10" fillId="12" borderId="1" xfId="0" applyFont="1" applyFill="1" applyBorder="1" applyAlignment="1">
      <alignment vertical="center"/>
    </xf>
    <xf numFmtId="0" fontId="21" fillId="0" borderId="3" xfId="0" quotePrefix="1" applyFont="1" applyBorder="1" applyAlignment="1">
      <alignment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9" fillId="0" borderId="0" xfId="0" applyFont="1" applyAlignment="1">
      <alignment horizontal="left" vertical="center" wrapText="1"/>
    </xf>
    <xf numFmtId="0" fontId="8" fillId="0" borderId="0" xfId="0" applyFont="1" applyAlignment="1">
      <alignment horizontal="left" vertical="center" wrapText="1"/>
    </xf>
    <xf numFmtId="0" fontId="0" fillId="0" borderId="8" xfId="0" applyBorder="1" applyAlignment="1">
      <alignment horizontal="left" vertical="center"/>
    </xf>
    <xf numFmtId="0" fontId="10" fillId="2" borderId="64"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22" fillId="0" borderId="0" xfId="0" applyFont="1" applyAlignment="1">
      <alignment vertical="center" wrapText="1"/>
    </xf>
    <xf numFmtId="0" fontId="10" fillId="0" borderId="0" xfId="0" applyFont="1" applyAlignment="1">
      <alignment vertical="center"/>
    </xf>
    <xf numFmtId="0" fontId="0" fillId="0" borderId="0" xfId="0"/>
    <xf numFmtId="0" fontId="3" fillId="0" borderId="11" xfId="0" applyFont="1" applyBorder="1" applyAlignment="1">
      <alignment vertical="center" wrapText="1"/>
    </xf>
    <xf numFmtId="0" fontId="3" fillId="0" borderId="21" xfId="0" applyFont="1" applyBorder="1" applyAlignment="1">
      <alignment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vertical="center"/>
    </xf>
    <xf numFmtId="0" fontId="0" fillId="0" borderId="3" xfId="0"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0" fillId="0" borderId="8"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3" fillId="2" borderId="46" xfId="0" quotePrefix="1" applyFont="1" applyFill="1" applyBorder="1" applyAlignment="1" applyProtection="1">
      <alignment horizontal="center" vertical="center"/>
      <protection locked="0"/>
    </xf>
    <xf numFmtId="0" fontId="3" fillId="2" borderId="59" xfId="0" quotePrefix="1"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10" fillId="12" borderId="46" xfId="0" applyFont="1" applyFill="1" applyBorder="1" applyAlignment="1">
      <alignment horizontal="center" vertical="center"/>
    </xf>
    <xf numFmtId="0" fontId="10" fillId="12" borderId="59" xfId="0" applyFont="1" applyFill="1" applyBorder="1" applyAlignment="1">
      <alignment horizontal="center" vertical="center"/>
    </xf>
    <xf numFmtId="0" fontId="52" fillId="0" borderId="3" xfId="0" applyFont="1" applyFill="1" applyBorder="1" applyAlignment="1">
      <alignment vertical="center"/>
    </xf>
    <xf numFmtId="0" fontId="61" fillId="0" borderId="0" xfId="0" applyFont="1" applyFill="1" applyAlignment="1">
      <alignment vertical="center"/>
    </xf>
    <xf numFmtId="0" fontId="8" fillId="0" borderId="46" xfId="0" applyFont="1" applyBorder="1" applyAlignment="1">
      <alignment horizontal="center" vertical="center" wrapText="1"/>
    </xf>
    <xf numFmtId="0" fontId="8" fillId="0" borderId="59" xfId="0" applyFont="1" applyBorder="1" applyAlignment="1">
      <alignment horizontal="center" vertical="center" wrapText="1"/>
    </xf>
    <xf numFmtId="9" fontId="8" fillId="0" borderId="46" xfId="0" applyNumberFormat="1" applyFont="1" applyBorder="1" applyAlignment="1">
      <alignment horizontal="center" vertical="center" wrapText="1"/>
    </xf>
    <xf numFmtId="9" fontId="8" fillId="0" borderId="59" xfId="0" applyNumberFormat="1" applyFont="1" applyBorder="1" applyAlignment="1">
      <alignment horizontal="center" vertical="center" wrapText="1"/>
    </xf>
    <xf numFmtId="0" fontId="0" fillId="0" borderId="0" xfId="0" applyAlignment="1" applyProtection="1">
      <alignment vertical="center"/>
      <protection hidden="1"/>
    </xf>
    <xf numFmtId="0" fontId="8" fillId="0" borderId="7" xfId="0" applyFont="1" applyBorder="1" applyAlignment="1">
      <alignment vertical="center" wrapText="1"/>
    </xf>
    <xf numFmtId="0" fontId="10" fillId="2" borderId="19"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0" fillId="0" borderId="2" xfId="0" applyBorder="1" applyAlignment="1">
      <alignment vertical="center"/>
    </xf>
    <xf numFmtId="0" fontId="0" fillId="0" borderId="1" xfId="0" applyBorder="1" applyAlignment="1">
      <alignmen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10" fillId="24" borderId="12" xfId="0" applyFont="1" applyFill="1" applyBorder="1" applyAlignment="1" applyProtection="1">
      <alignment horizontal="left" vertical="center"/>
      <protection locked="0"/>
    </xf>
    <xf numFmtId="0" fontId="10" fillId="24" borderId="10" xfId="0" applyFont="1" applyFill="1" applyBorder="1" applyAlignment="1" applyProtection="1">
      <alignment horizontal="left" vertical="center"/>
      <protection locked="0"/>
    </xf>
    <xf numFmtId="0" fontId="10" fillId="24" borderId="27" xfId="0" applyFont="1" applyFill="1" applyBorder="1" applyAlignment="1" applyProtection="1">
      <alignment horizontal="left" vertical="center"/>
      <protection locked="0"/>
    </xf>
    <xf numFmtId="0" fontId="10" fillId="2" borderId="45" xfId="0" applyFont="1" applyFill="1" applyBorder="1" applyAlignment="1" applyProtection="1">
      <alignment vertical="center"/>
      <protection locked="0"/>
    </xf>
    <xf numFmtId="0" fontId="0" fillId="0" borderId="0" xfId="0" applyAlignment="1"/>
    <xf numFmtId="0" fontId="10" fillId="0" borderId="15" xfId="0" applyFont="1" applyBorder="1" applyAlignment="1">
      <alignment vertical="center" wrapText="1"/>
    </xf>
    <xf numFmtId="0" fontId="10" fillId="0" borderId="15" xfId="0" applyFont="1" applyBorder="1" applyAlignment="1">
      <alignment vertical="center"/>
    </xf>
    <xf numFmtId="0" fontId="10" fillId="0" borderId="38" xfId="0" applyFont="1" applyBorder="1" applyAlignment="1">
      <alignment vertical="center"/>
    </xf>
    <xf numFmtId="0" fontId="10" fillId="2" borderId="12" xfId="8" applyFont="1" applyFill="1" applyBorder="1" applyAlignment="1" applyProtection="1">
      <alignment horizontal="center" vertical="center"/>
      <protection locked="0"/>
    </xf>
    <xf numFmtId="0" fontId="10" fillId="2" borderId="10" xfId="8" applyFont="1" applyFill="1" applyBorder="1" applyAlignment="1" applyProtection="1">
      <alignment horizontal="center" vertical="center"/>
      <protection locked="0"/>
    </xf>
    <xf numFmtId="0" fontId="10" fillId="2" borderId="22" xfId="8" applyFont="1" applyFill="1" applyBorder="1" applyAlignment="1" applyProtection="1">
      <alignment horizontal="center" vertical="center"/>
      <protection locked="0"/>
    </xf>
    <xf numFmtId="0" fontId="10" fillId="0" borderId="56" xfId="8" applyFont="1" applyBorder="1" applyAlignment="1">
      <alignment horizontal="right" vertical="center"/>
    </xf>
    <xf numFmtId="0" fontId="10" fillId="0" borderId="24" xfId="8" applyFont="1" applyBorder="1" applyAlignment="1">
      <alignment horizontal="right" vertical="center"/>
    </xf>
    <xf numFmtId="180" fontId="10" fillId="2" borderId="19" xfId="8" applyNumberFormat="1" applyFont="1" applyFill="1" applyBorder="1" applyAlignment="1" applyProtection="1">
      <alignment horizontal="center" vertical="center"/>
      <protection locked="0"/>
    </xf>
    <xf numFmtId="180" fontId="10" fillId="2" borderId="11" xfId="8" applyNumberFormat="1" applyFont="1" applyFill="1" applyBorder="1" applyAlignment="1" applyProtection="1">
      <alignment horizontal="center" vertical="center"/>
      <protection locked="0"/>
    </xf>
    <xf numFmtId="180" fontId="10" fillId="2" borderId="21" xfId="8" applyNumberFormat="1" applyFont="1" applyFill="1" applyBorder="1" applyAlignment="1" applyProtection="1">
      <alignment horizontal="center" vertical="center"/>
      <protection locked="0"/>
    </xf>
    <xf numFmtId="0" fontId="10" fillId="0" borderId="44" xfId="8" applyFont="1" applyBorder="1" applyAlignment="1">
      <alignment horizontal="right" vertical="center" wrapText="1"/>
    </xf>
    <xf numFmtId="0" fontId="0" fillId="0" borderId="71" xfId="0" applyBorder="1" applyAlignment="1">
      <alignment horizontal="right" vertical="center" wrapText="1"/>
    </xf>
    <xf numFmtId="0" fontId="10" fillId="25" borderId="56" xfId="8" applyFont="1" applyFill="1" applyBorder="1" applyAlignment="1">
      <alignment horizontal="right" vertical="center" wrapText="1"/>
    </xf>
    <xf numFmtId="0" fontId="10" fillId="25" borderId="17" xfId="8" applyFont="1" applyFill="1" applyBorder="1" applyAlignment="1">
      <alignment horizontal="right" vertical="center" wrapText="1"/>
    </xf>
    <xf numFmtId="0" fontId="10" fillId="25" borderId="12" xfId="8" applyFont="1" applyFill="1" applyBorder="1" applyAlignment="1">
      <alignment horizontal="right" vertical="center" wrapText="1"/>
    </xf>
    <xf numFmtId="0" fontId="10" fillId="25" borderId="10" xfId="8" applyFont="1" applyFill="1" applyBorder="1" applyAlignment="1">
      <alignment horizontal="right" vertical="center" wrapText="1"/>
    </xf>
    <xf numFmtId="0" fontId="10" fillId="0" borderId="15" xfId="8" applyFont="1" applyBorder="1" applyAlignment="1">
      <alignment vertical="center" wrapText="1"/>
    </xf>
    <xf numFmtId="0" fontId="28" fillId="0" borderId="31" xfId="0" applyFont="1" applyBorder="1" applyAlignment="1">
      <alignment vertical="center" wrapText="1"/>
    </xf>
    <xf numFmtId="0" fontId="10" fillId="0" borderId="12" xfId="8" applyFont="1" applyBorder="1" applyAlignment="1">
      <alignment horizontal="right" vertical="center" wrapText="1"/>
    </xf>
    <xf numFmtId="0" fontId="10" fillId="0" borderId="22" xfId="8" applyFont="1" applyBorder="1" applyAlignment="1">
      <alignment horizontal="right" vertical="center" wrapText="1"/>
    </xf>
    <xf numFmtId="0" fontId="10" fillId="0" borderId="56" xfId="8" applyFont="1" applyBorder="1" applyAlignment="1">
      <alignment horizontal="right" vertical="center" wrapText="1"/>
    </xf>
    <xf numFmtId="0" fontId="10" fillId="0" borderId="24" xfId="8" applyFont="1" applyBorder="1" applyAlignment="1">
      <alignment horizontal="right" vertical="center" wrapText="1"/>
    </xf>
    <xf numFmtId="0" fontId="3" fillId="0" borderId="31" xfId="0" applyFont="1" applyBorder="1" applyAlignment="1">
      <alignment vertical="center" wrapText="1"/>
    </xf>
    <xf numFmtId="0" fontId="74" fillId="0" borderId="64" xfId="8" applyFont="1" applyBorder="1" applyAlignment="1">
      <alignment vertical="center" wrapText="1"/>
    </xf>
    <xf numFmtId="0" fontId="74" fillId="0" borderId="31" xfId="8" applyFont="1" applyBorder="1" applyAlignment="1">
      <alignment vertical="center" wrapText="1"/>
    </xf>
    <xf numFmtId="0" fontId="3" fillId="0" borderId="22" xfId="0" applyFont="1" applyBorder="1" applyAlignment="1">
      <alignment horizontal="right" vertical="center" wrapText="1"/>
    </xf>
    <xf numFmtId="0" fontId="10" fillId="0" borderId="124" xfId="8" applyFont="1" applyBorder="1" applyAlignment="1">
      <alignment horizontal="right" vertical="center" wrapText="1"/>
    </xf>
    <xf numFmtId="0" fontId="10" fillId="0" borderId="19" xfId="8" applyFont="1" applyBorder="1" applyAlignment="1">
      <alignment horizontal="right" vertical="center" wrapText="1"/>
    </xf>
    <xf numFmtId="0" fontId="10" fillId="0" borderId="21" xfId="8" applyFont="1" applyBorder="1" applyAlignment="1">
      <alignment horizontal="right" vertical="center" wrapText="1"/>
    </xf>
    <xf numFmtId="0" fontId="10" fillId="0" borderId="45" xfId="8" applyFont="1" applyBorder="1" applyAlignment="1">
      <alignment horizontal="right" vertical="center"/>
    </xf>
    <xf numFmtId="0" fontId="0" fillId="0" borderId="20" xfId="0" applyBorder="1" applyAlignment="1">
      <alignment horizontal="right" vertical="center"/>
    </xf>
    <xf numFmtId="0" fontId="10" fillId="0" borderId="31" xfId="8" applyFont="1" applyBorder="1" applyAlignment="1">
      <alignment vertical="center" wrapText="1"/>
    </xf>
    <xf numFmtId="0" fontId="10" fillId="0" borderId="44" xfId="8" applyFont="1" applyBorder="1" applyAlignment="1">
      <alignment horizontal="right" vertical="center"/>
    </xf>
    <xf numFmtId="0" fontId="0" fillId="0" borderId="71" xfId="0" applyBorder="1" applyAlignment="1">
      <alignment horizontal="right" vertical="center"/>
    </xf>
    <xf numFmtId="0" fontId="10" fillId="0" borderId="2" xfId="8" applyFont="1" applyBorder="1" applyAlignment="1">
      <alignment vertical="center" wrapText="1"/>
    </xf>
    <xf numFmtId="0" fontId="10" fillId="0" borderId="1" xfId="8" applyFont="1" applyBorder="1" applyAlignment="1">
      <alignment vertical="center" wrapText="1"/>
    </xf>
    <xf numFmtId="0" fontId="10" fillId="0" borderId="15" xfId="8" applyFont="1" applyBorder="1" applyAlignment="1">
      <alignment horizontal="left" vertical="center" wrapText="1"/>
    </xf>
    <xf numFmtId="0" fontId="10" fillId="0" borderId="31" xfId="8" applyFont="1" applyBorder="1" applyAlignment="1">
      <alignment horizontal="left" vertical="center" wrapText="1"/>
    </xf>
    <xf numFmtId="0" fontId="10" fillId="0" borderId="20" xfId="8" applyFont="1" applyBorder="1" applyAlignment="1">
      <alignment horizontal="right" vertical="center"/>
    </xf>
    <xf numFmtId="0" fontId="10" fillId="0" borderId="45" xfId="8" applyFont="1" applyBorder="1" applyAlignment="1">
      <alignment horizontal="right" vertical="center" wrapText="1"/>
    </xf>
    <xf numFmtId="0" fontId="0" fillId="0" borderId="31" xfId="0" applyBorder="1" applyAlignment="1">
      <alignment vertical="center" wrapText="1"/>
    </xf>
    <xf numFmtId="0" fontId="10" fillId="0" borderId="12" xfId="8" applyFont="1" applyBorder="1" applyAlignment="1">
      <alignment horizontal="right" vertical="center"/>
    </xf>
    <xf numFmtId="0" fontId="10" fillId="0" borderId="22" xfId="8" applyFont="1" applyBorder="1" applyAlignment="1">
      <alignment horizontal="right" vertical="center"/>
    </xf>
    <xf numFmtId="0" fontId="14" fillId="0" borderId="45" xfId="8" applyFont="1" applyBorder="1" applyAlignment="1">
      <alignment horizontal="right" vertical="center"/>
    </xf>
    <xf numFmtId="0" fontId="10" fillId="0" borderId="15" xfId="8" applyFont="1" applyBorder="1" applyAlignment="1">
      <alignment vertical="center"/>
    </xf>
    <xf numFmtId="0" fontId="10" fillId="0" borderId="31" xfId="8" applyFont="1" applyBorder="1" applyAlignment="1">
      <alignment vertical="center"/>
    </xf>
    <xf numFmtId="0" fontId="10" fillId="0" borderId="4" xfId="8" applyFont="1" applyBorder="1" applyAlignment="1">
      <alignment vertical="center" wrapText="1"/>
    </xf>
    <xf numFmtId="0" fontId="3" fillId="0" borderId="5" xfId="0" applyFont="1" applyBorder="1" applyAlignment="1">
      <alignment vertical="center" wrapText="1"/>
    </xf>
    <xf numFmtId="0" fontId="82" fillId="0" borderId="64" xfId="8" applyFont="1" applyBorder="1" applyAlignment="1">
      <alignment vertical="center" wrapText="1"/>
    </xf>
    <xf numFmtId="0" fontId="82" fillId="0" borderId="31" xfId="8" applyFont="1" applyBorder="1" applyAlignment="1">
      <alignment vertical="center" wrapText="1"/>
    </xf>
    <xf numFmtId="0" fontId="10" fillId="0" borderId="26" xfId="8" applyFont="1" applyBorder="1" applyAlignment="1">
      <alignment horizontal="right" vertical="center" wrapText="1"/>
    </xf>
    <xf numFmtId="0" fontId="10" fillId="0" borderId="23" xfId="8" applyFont="1" applyBorder="1" applyAlignment="1">
      <alignment horizontal="right" vertical="center" wrapText="1"/>
    </xf>
    <xf numFmtId="0" fontId="10" fillId="6" borderId="46" xfId="0" applyFont="1" applyFill="1" applyBorder="1" applyAlignment="1">
      <alignment vertical="center" wrapText="1"/>
    </xf>
    <xf numFmtId="0" fontId="10" fillId="6" borderId="59" xfId="0" applyFont="1" applyFill="1" applyBorder="1" applyAlignment="1">
      <alignment vertical="center" wrapText="1"/>
    </xf>
    <xf numFmtId="0" fontId="7" fillId="0" borderId="0" xfId="0" applyFont="1" applyAlignment="1">
      <alignment horizontal="left" vertical="center" wrapText="1" indent="1"/>
    </xf>
    <xf numFmtId="0" fontId="21" fillId="0" borderId="6"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18" xfId="0" applyBorder="1" applyAlignment="1">
      <alignment vertical="top"/>
    </xf>
    <xf numFmtId="0" fontId="0" fillId="0" borderId="17" xfId="0" applyBorder="1" applyAlignment="1">
      <alignment vertical="top"/>
    </xf>
    <xf numFmtId="0" fontId="0" fillId="0" borderId="24" xfId="0" applyBorder="1" applyAlignment="1">
      <alignment vertical="top"/>
    </xf>
    <xf numFmtId="0" fontId="10" fillId="0" borderId="6" xfId="0" applyFont="1" applyBorder="1" applyAlignment="1">
      <alignment horizontal="right" vertical="center"/>
    </xf>
    <xf numFmtId="0" fontId="10" fillId="0" borderId="18" xfId="0" applyFont="1" applyBorder="1" applyAlignment="1">
      <alignment horizontal="right" vertical="center"/>
    </xf>
    <xf numFmtId="0" fontId="52" fillId="0" borderId="4" xfId="0" applyFont="1" applyBorder="1" applyAlignment="1">
      <alignment horizontal="right" vertical="center"/>
    </xf>
    <xf numFmtId="0" fontId="61" fillId="0" borderId="17" xfId="0" applyFont="1" applyBorder="1" applyAlignment="1">
      <alignment vertical="center"/>
    </xf>
    <xf numFmtId="0" fontId="10" fillId="2" borderId="6" xfId="0" applyFont="1" applyFill="1" applyBorder="1" applyAlignment="1" applyProtection="1">
      <alignment vertical="center" wrapText="1"/>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18" xfId="0" applyBorder="1" applyAlignment="1">
      <alignment vertical="center"/>
    </xf>
    <xf numFmtId="0" fontId="0" fillId="0" borderId="24" xfId="0" applyBorder="1" applyAlignment="1">
      <alignment vertical="center"/>
    </xf>
    <xf numFmtId="0" fontId="10" fillId="0" borderId="8" xfId="0" applyFont="1" applyBorder="1" applyAlignment="1">
      <alignment vertical="center"/>
    </xf>
    <xf numFmtId="0" fontId="10" fillId="6" borderId="7" xfId="0" applyFont="1" applyFill="1" applyBorder="1" applyAlignment="1">
      <alignment vertical="center" wrapText="1"/>
    </xf>
    <xf numFmtId="0" fontId="10" fillId="6" borderId="46"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7" fillId="0" borderId="3" xfId="0" applyFont="1" applyBorder="1" applyAlignment="1">
      <alignment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7" fillId="2" borderId="8" xfId="9" applyFont="1" applyFill="1" applyBorder="1" applyAlignment="1" applyProtection="1">
      <alignment vertical="center" wrapText="1"/>
      <protection locked="0"/>
    </xf>
    <xf numFmtId="0" fontId="7" fillId="2" borderId="2" xfId="9" applyFont="1" applyFill="1" applyBorder="1" applyAlignment="1" applyProtection="1">
      <alignment vertical="center" wrapText="1"/>
      <protection locked="0"/>
    </xf>
    <xf numFmtId="0" fontId="7" fillId="2" borderId="1" xfId="9" applyFont="1" applyFill="1" applyBorder="1" applyAlignment="1" applyProtection="1">
      <alignment vertical="center" wrapText="1"/>
      <protection locked="0"/>
    </xf>
    <xf numFmtId="0" fontId="7" fillId="0" borderId="18" xfId="0" applyFont="1" applyBorder="1" applyAlignment="1">
      <alignment vertical="center" wrapText="1"/>
    </xf>
    <xf numFmtId="0" fontId="7" fillId="0" borderId="0" xfId="9" applyFont="1" applyAlignment="1">
      <alignment vertical="center" wrapText="1"/>
    </xf>
    <xf numFmtId="0" fontId="0" fillId="0" borderId="20" xfId="0" applyBorder="1" applyAlignment="1">
      <alignment vertical="center" wrapText="1"/>
    </xf>
    <xf numFmtId="0" fontId="23" fillId="2" borderId="77" xfId="9"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2" fillId="0" borderId="2" xfId="0" applyFont="1" applyBorder="1" applyAlignment="1">
      <alignment horizontal="center" vertical="center"/>
    </xf>
    <xf numFmtId="0" fontId="0" fillId="0" borderId="8"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10" fillId="14" borderId="128" xfId="28" applyFont="1" applyFill="1" applyBorder="1" applyProtection="1">
      <alignment vertical="center"/>
      <protection hidden="1"/>
    </xf>
    <xf numFmtId="0" fontId="3" fillId="14" borderId="128" xfId="28" applyFill="1" applyBorder="1">
      <alignment vertical="center"/>
    </xf>
    <xf numFmtId="0" fontId="10" fillId="14" borderId="4" xfId="28" applyFont="1" applyFill="1" applyBorder="1" applyAlignment="1">
      <alignment vertical="center" wrapText="1"/>
    </xf>
    <xf numFmtId="0" fontId="10" fillId="14" borderId="4" xfId="28" applyFont="1" applyFill="1" applyBorder="1" applyAlignment="1">
      <alignment horizontal="left" vertical="center" wrapText="1"/>
    </xf>
    <xf numFmtId="0" fontId="59" fillId="14" borderId="46" xfId="28" applyFont="1" applyFill="1" applyBorder="1" applyAlignment="1">
      <alignment horizontal="center" vertical="center" wrapText="1"/>
    </xf>
    <xf numFmtId="0" fontId="0" fillId="0" borderId="58" xfId="0" applyBorder="1" applyAlignment="1">
      <alignment horizontal="center" vertical="center" wrapText="1"/>
    </xf>
    <xf numFmtId="0" fontId="0" fillId="0" borderId="78" xfId="0" applyBorder="1" applyAlignment="1">
      <alignment horizontal="center" vertical="center" wrapText="1"/>
    </xf>
    <xf numFmtId="0" fontId="10" fillId="14" borderId="8" xfId="28" applyFont="1" applyFill="1" applyBorder="1" applyAlignment="1">
      <alignment horizontal="center" vertical="center"/>
    </xf>
    <xf numFmtId="0" fontId="10" fillId="14" borderId="1" xfId="28" applyFont="1" applyFill="1" applyBorder="1" applyAlignment="1">
      <alignment horizontal="center" vertical="center"/>
    </xf>
    <xf numFmtId="0" fontId="23" fillId="0" borderId="8" xfId="0" applyFont="1" applyBorder="1" applyAlignment="1" applyProtection="1">
      <alignment horizontal="center" vertical="center" shrinkToFit="1"/>
      <protection hidden="1"/>
    </xf>
    <xf numFmtId="0" fontId="23" fillId="0" borderId="1" xfId="0" applyFont="1" applyBorder="1" applyAlignment="1" applyProtection="1">
      <alignment horizontal="center" vertical="center" shrinkToFit="1"/>
      <protection hidden="1"/>
    </xf>
    <xf numFmtId="0" fontId="23" fillId="0" borderId="8" xfId="0" applyFont="1" applyBorder="1" applyAlignment="1" applyProtection="1">
      <alignment horizontal="center" vertical="center"/>
      <protection hidden="1"/>
    </xf>
    <xf numFmtId="0" fontId="23" fillId="0" borderId="1" xfId="0" applyFont="1" applyBorder="1" applyAlignment="1" applyProtection="1">
      <alignment horizontal="center" vertical="center"/>
      <protection hidden="1"/>
    </xf>
    <xf numFmtId="0" fontId="10" fillId="0" borderId="8"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10" fillId="0" borderId="7" xfId="0" applyFont="1" applyBorder="1" applyAlignment="1" applyProtection="1">
      <alignment horizontal="center" vertical="center"/>
      <protection hidden="1"/>
    </xf>
    <xf numFmtId="38" fontId="10" fillId="0" borderId="7" xfId="0" applyNumberFormat="1" applyFont="1" applyBorder="1" applyAlignment="1" applyProtection="1">
      <alignment horizontal="center" vertical="center"/>
      <protection hidden="1"/>
    </xf>
    <xf numFmtId="0" fontId="0" fillId="0" borderId="0" xfId="0" applyAlignment="1" applyProtection="1">
      <alignment horizontal="left" vertical="top" wrapText="1"/>
      <protection hidden="1"/>
    </xf>
    <xf numFmtId="0" fontId="3" fillId="0" borderId="0" xfId="0" applyFont="1" applyAlignment="1" applyProtection="1">
      <alignment horizontal="left" vertical="top"/>
      <protection hidden="1"/>
    </xf>
    <xf numFmtId="0" fontId="0" fillId="3" borderId="8" xfId="0"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3" fillId="3" borderId="1" xfId="0" applyFont="1" applyFill="1" applyBorder="1" applyAlignment="1" applyProtection="1">
      <alignment horizontal="left" vertical="center" wrapText="1"/>
      <protection hidden="1"/>
    </xf>
    <xf numFmtId="0" fontId="10" fillId="13" borderId="8" xfId="0" applyFont="1" applyFill="1" applyBorder="1" applyAlignment="1" applyProtection="1">
      <alignment horizontal="left" vertical="center" wrapText="1"/>
      <protection hidden="1"/>
    </xf>
    <xf numFmtId="0" fontId="10" fillId="13" borderId="2" xfId="0" applyFont="1" applyFill="1" applyBorder="1" applyAlignment="1" applyProtection="1">
      <alignment horizontal="left" vertical="center"/>
      <protection hidden="1"/>
    </xf>
    <xf numFmtId="0" fontId="10" fillId="13" borderId="1" xfId="0" applyFont="1" applyFill="1" applyBorder="1" applyAlignment="1" applyProtection="1">
      <alignment horizontal="left" vertical="center"/>
      <protection hidden="1"/>
    </xf>
    <xf numFmtId="0" fontId="10" fillId="13" borderId="7" xfId="0" applyFont="1" applyFill="1" applyBorder="1" applyAlignment="1" applyProtection="1">
      <alignment horizontal="center" vertical="center"/>
      <protection hidden="1"/>
    </xf>
    <xf numFmtId="0" fontId="10" fillId="13" borderId="8" xfId="0" applyFont="1" applyFill="1" applyBorder="1" applyAlignment="1" applyProtection="1">
      <alignment horizontal="center" vertical="center" wrapText="1"/>
      <protection hidden="1"/>
    </xf>
    <xf numFmtId="0" fontId="10" fillId="13" borderId="2" xfId="0" applyFont="1" applyFill="1" applyBorder="1" applyAlignment="1" applyProtection="1">
      <alignment horizontal="center" vertical="center" wrapText="1"/>
      <protection hidden="1"/>
    </xf>
    <xf numFmtId="0" fontId="10" fillId="13" borderId="1" xfId="0" applyFont="1" applyFill="1" applyBorder="1" applyAlignment="1" applyProtection="1">
      <alignment horizontal="center" vertical="center" wrapText="1"/>
      <protection hidden="1"/>
    </xf>
    <xf numFmtId="0" fontId="10" fillId="13" borderId="8" xfId="0" applyFont="1" applyFill="1" applyBorder="1" applyAlignment="1" applyProtection="1">
      <alignment horizontal="left" vertical="center"/>
      <protection hidden="1"/>
    </xf>
    <xf numFmtId="0" fontId="10" fillId="0" borderId="8"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0" fillId="3" borderId="6" xfId="0" applyFill="1" applyBorder="1" applyAlignment="1" applyProtection="1">
      <alignment horizontal="left" vertical="center" wrapText="1"/>
      <protection hidden="1"/>
    </xf>
    <xf numFmtId="0" fontId="0" fillId="3" borderId="5" xfId="0" applyFill="1" applyBorder="1" applyAlignment="1" applyProtection="1">
      <alignment horizontal="left" vertical="center" wrapText="1"/>
      <protection hidden="1"/>
    </xf>
    <xf numFmtId="0" fontId="0" fillId="3" borderId="18" xfId="0" applyFill="1" applyBorder="1" applyAlignment="1" applyProtection="1">
      <alignment horizontal="left" vertical="center" wrapText="1"/>
      <protection hidden="1"/>
    </xf>
    <xf numFmtId="0" fontId="0" fillId="3" borderId="24" xfId="0" applyFill="1" applyBorder="1" applyAlignment="1" applyProtection="1">
      <alignment horizontal="left" vertical="center" wrapText="1"/>
      <protection hidden="1"/>
    </xf>
    <xf numFmtId="0" fontId="10" fillId="0" borderId="2" xfId="0" applyFont="1" applyBorder="1" applyAlignment="1" applyProtection="1">
      <alignment horizontal="center" vertical="center"/>
      <protection hidden="1"/>
    </xf>
    <xf numFmtId="0" fontId="10" fillId="0" borderId="7" xfId="0" applyFont="1" applyBorder="1" applyAlignment="1" applyProtection="1">
      <alignment horizontal="center" vertical="center" wrapText="1"/>
      <protection hidden="1"/>
    </xf>
    <xf numFmtId="0" fontId="10" fillId="0" borderId="8" xfId="10" applyFont="1" applyBorder="1" applyAlignment="1">
      <alignment horizontal="left" vertical="center"/>
    </xf>
    <xf numFmtId="0" fontId="10" fillId="0" borderId="2" xfId="10" applyFont="1" applyBorder="1" applyAlignment="1">
      <alignment horizontal="left" vertical="center"/>
    </xf>
    <xf numFmtId="0" fontId="10" fillId="0" borderId="1" xfId="10" applyFont="1" applyBorder="1" applyAlignment="1">
      <alignment horizontal="left" vertical="center"/>
    </xf>
    <xf numFmtId="38" fontId="10" fillId="0" borderId="8" xfId="10" applyNumberFormat="1" applyFont="1" applyBorder="1" applyAlignment="1" applyProtection="1">
      <alignment horizontal="right" vertical="center"/>
      <protection hidden="1"/>
    </xf>
    <xf numFmtId="0" fontId="10" fillId="0" borderId="1" xfId="10" applyFont="1" applyBorder="1" applyAlignment="1" applyProtection="1">
      <alignment horizontal="right" vertical="center"/>
      <protection hidden="1"/>
    </xf>
    <xf numFmtId="38" fontId="10" fillId="0" borderId="8" xfId="2" applyFont="1" applyBorder="1" applyAlignment="1" applyProtection="1">
      <alignment horizontal="right" vertical="center" wrapText="1"/>
      <protection hidden="1"/>
    </xf>
    <xf numFmtId="38" fontId="10" fillId="0" borderId="1" xfId="2" applyFont="1" applyBorder="1" applyAlignment="1" applyProtection="1">
      <alignment horizontal="right" vertical="center" wrapText="1"/>
      <protection hidden="1"/>
    </xf>
    <xf numFmtId="0" fontId="28" fillId="0" borderId="8" xfId="0" applyFont="1" applyBorder="1" applyAlignment="1" applyProtection="1">
      <alignment horizontal="left" vertical="center"/>
      <protection hidden="1"/>
    </xf>
    <xf numFmtId="0" fontId="28" fillId="0" borderId="2" xfId="0" applyFont="1" applyBorder="1" applyAlignment="1" applyProtection="1">
      <alignment horizontal="left" vertical="center"/>
      <protection hidden="1"/>
    </xf>
    <xf numFmtId="0" fontId="28" fillId="0" borderId="1"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38" fontId="10" fillId="0" borderId="8" xfId="0" applyNumberFormat="1" applyFont="1" applyBorder="1" applyAlignment="1">
      <alignment horizontal="right" vertical="center"/>
    </xf>
    <xf numFmtId="0" fontId="10" fillId="0" borderId="1" xfId="0" applyFont="1" applyBorder="1" applyAlignment="1">
      <alignment horizontal="right" vertical="center"/>
    </xf>
    <xf numFmtId="38" fontId="10" fillId="0" borderId="8" xfId="2" applyFont="1" applyBorder="1" applyAlignment="1">
      <alignment horizontal="right" vertical="center"/>
    </xf>
    <xf numFmtId="38" fontId="10" fillId="0" borderId="1" xfId="2" applyFont="1" applyBorder="1" applyAlignment="1">
      <alignment horizontal="right" vertical="center"/>
    </xf>
    <xf numFmtId="0" fontId="10" fillId="0" borderId="0" xfId="0" applyFont="1" applyAlignment="1" applyProtection="1">
      <alignment vertical="center" wrapText="1"/>
      <protection hidden="1"/>
    </xf>
    <xf numFmtId="0" fontId="51" fillId="0" borderId="0" xfId="0" applyFont="1" applyAlignment="1">
      <alignment vertical="top" wrapText="1"/>
    </xf>
    <xf numFmtId="0" fontId="51" fillId="0" borderId="0" xfId="0" applyFont="1" applyAlignment="1">
      <alignment vertical="top"/>
    </xf>
    <xf numFmtId="0" fontId="51" fillId="0" borderId="0" xfId="0" applyFont="1" applyBorder="1" applyAlignment="1">
      <alignment vertical="top"/>
    </xf>
    <xf numFmtId="184" fontId="7" fillId="0" borderId="8" xfId="1" applyNumberFormat="1" applyFont="1" applyBorder="1" applyAlignment="1" applyProtection="1">
      <alignment horizontal="center" vertical="center"/>
      <protection hidden="1"/>
    </xf>
    <xf numFmtId="184" fontId="7" fillId="0" borderId="1" xfId="1" applyNumberFormat="1" applyFont="1" applyBorder="1" applyAlignment="1" applyProtection="1">
      <alignment horizontal="center" vertical="center"/>
      <protection hidden="1"/>
    </xf>
    <xf numFmtId="0" fontId="7" fillId="0" borderId="7" xfId="0" applyFont="1" applyBorder="1" applyAlignment="1" applyProtection="1">
      <alignment horizontal="center" vertical="center" wrapText="1"/>
      <protection hidden="1"/>
    </xf>
    <xf numFmtId="0" fontId="10" fillId="0" borderId="7" xfId="11" applyNumberFormat="1" applyFont="1" applyBorder="1" applyAlignment="1">
      <alignment horizontal="left" vertical="center"/>
    </xf>
    <xf numFmtId="0" fontId="7" fillId="0" borderId="7" xfId="0" applyFont="1" applyBorder="1" applyAlignment="1" applyProtection="1">
      <alignment horizontal="center" vertical="center"/>
      <protection hidden="1"/>
    </xf>
    <xf numFmtId="49" fontId="10" fillId="0" borderId="8" xfId="10" applyNumberFormat="1" applyFont="1" applyBorder="1" applyAlignment="1">
      <alignment horizontal="left" vertical="center" wrapText="1"/>
    </xf>
    <xf numFmtId="0" fontId="28" fillId="0" borderId="1" xfId="0" applyFont="1" applyBorder="1" applyAlignment="1">
      <alignment vertical="center" wrapText="1"/>
    </xf>
    <xf numFmtId="0" fontId="7" fillId="3" borderId="6" xfId="10" applyFill="1" applyBorder="1" applyAlignment="1">
      <alignment horizontal="left" vertical="center" wrapText="1"/>
    </xf>
    <xf numFmtId="0" fontId="7" fillId="3" borderId="4" xfId="10" applyFill="1" applyBorder="1" applyAlignment="1">
      <alignment horizontal="left" vertical="center"/>
    </xf>
    <xf numFmtId="0" fontId="7" fillId="3" borderId="5" xfId="10" applyFill="1" applyBorder="1" applyAlignment="1">
      <alignment horizontal="left" vertical="center"/>
    </xf>
    <xf numFmtId="0" fontId="7" fillId="3" borderId="18" xfId="10" applyFill="1" applyBorder="1" applyAlignment="1">
      <alignment horizontal="left" vertical="center"/>
    </xf>
    <xf numFmtId="0" fontId="7" fillId="3" borderId="17" xfId="10" applyFill="1" applyBorder="1" applyAlignment="1">
      <alignment horizontal="left" vertical="center"/>
    </xf>
    <xf numFmtId="0" fontId="7" fillId="3" borderId="24" xfId="10" applyFill="1" applyBorder="1" applyAlignment="1">
      <alignment horizontal="left" vertical="center"/>
    </xf>
    <xf numFmtId="0" fontId="27" fillId="0" borderId="0" xfId="0" applyFont="1" applyAlignment="1" applyProtection="1">
      <alignment horizontal="left" vertical="center" wrapText="1"/>
      <protection hidden="1"/>
    </xf>
    <xf numFmtId="0" fontId="23" fillId="0" borderId="0" xfId="0" applyFont="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7" fillId="0" borderId="6" xfId="10" applyBorder="1" applyAlignment="1">
      <alignment horizontal="center" vertical="center"/>
    </xf>
    <xf numFmtId="0" fontId="7" fillId="0" borderId="5" xfId="10" applyBorder="1" applyAlignment="1">
      <alignment horizontal="center" vertical="center"/>
    </xf>
    <xf numFmtId="0" fontId="7" fillId="0" borderId="3" xfId="10" applyBorder="1" applyAlignment="1">
      <alignment horizontal="center" vertical="center"/>
    </xf>
    <xf numFmtId="0" fontId="7" fillId="0" borderId="20" xfId="10" applyBorder="1" applyAlignment="1">
      <alignment horizontal="center" vertical="center"/>
    </xf>
    <xf numFmtId="0" fontId="7" fillId="0" borderId="18" xfId="10" applyBorder="1" applyAlignment="1">
      <alignment horizontal="center" vertical="center"/>
    </xf>
    <xf numFmtId="0" fontId="7" fillId="0" borderId="24" xfId="10" applyBorder="1" applyAlignment="1">
      <alignment horizontal="center" vertical="center"/>
    </xf>
    <xf numFmtId="0" fontId="7" fillId="0" borderId="6" xfId="10" applyBorder="1" applyAlignment="1">
      <alignment horizontal="center" vertical="center" wrapText="1"/>
    </xf>
    <xf numFmtId="0" fontId="7" fillId="0" borderId="5" xfId="10" applyBorder="1" applyAlignment="1">
      <alignment horizontal="center" vertical="center" wrapText="1"/>
    </xf>
    <xf numFmtId="0" fontId="7" fillId="0" borderId="41" xfId="10" applyBorder="1" applyAlignment="1">
      <alignment horizontal="center" vertical="center" wrapText="1"/>
    </xf>
    <xf numFmtId="0" fontId="7" fillId="0" borderId="23" xfId="10" applyBorder="1" applyAlignment="1">
      <alignment horizontal="center" vertical="center" wrapText="1"/>
    </xf>
    <xf numFmtId="49" fontId="10" fillId="0" borderId="1" xfId="10" applyNumberFormat="1" applyFont="1" applyBorder="1" applyAlignment="1">
      <alignment horizontal="left" vertical="center" wrapText="1"/>
    </xf>
    <xf numFmtId="0" fontId="7" fillId="0" borderId="4" xfId="10" applyBorder="1" applyAlignment="1">
      <alignment horizontal="center" vertical="center"/>
    </xf>
    <xf numFmtId="0" fontId="12" fillId="0" borderId="46" xfId="10" applyFont="1" applyBorder="1" applyAlignment="1">
      <alignment horizontal="center" vertical="center" wrapText="1"/>
    </xf>
    <xf numFmtId="0" fontId="12" fillId="0" borderId="58" xfId="10" applyFont="1" applyBorder="1" applyAlignment="1">
      <alignment horizontal="center" vertical="center" wrapText="1"/>
    </xf>
    <xf numFmtId="0" fontId="12" fillId="0" borderId="59" xfId="10" applyFont="1" applyBorder="1" applyAlignment="1">
      <alignment horizontal="center" vertical="center" wrapText="1"/>
    </xf>
    <xf numFmtId="0" fontId="7" fillId="0" borderId="46" xfId="10" applyBorder="1" applyAlignment="1">
      <alignment horizontal="center" vertical="center" wrapText="1"/>
    </xf>
    <xf numFmtId="0" fontId="7" fillId="0" borderId="58" xfId="10" applyBorder="1" applyAlignment="1">
      <alignment horizontal="center" vertical="center"/>
    </xf>
    <xf numFmtId="0" fontId="7" fillId="0" borderId="59" xfId="10" applyBorder="1" applyAlignment="1">
      <alignment horizontal="center" vertical="center"/>
    </xf>
    <xf numFmtId="49" fontId="10" fillId="13" borderId="8" xfId="10" applyNumberFormat="1" applyFont="1" applyFill="1" applyBorder="1" applyAlignment="1">
      <alignment horizontal="left" vertical="center" wrapText="1"/>
    </xf>
    <xf numFmtId="49" fontId="10" fillId="13" borderId="1" xfId="10" applyNumberFormat="1" applyFont="1" applyFill="1" applyBorder="1" applyAlignment="1">
      <alignment horizontal="left" vertical="center" wrapText="1"/>
    </xf>
    <xf numFmtId="0" fontId="3" fillId="4" borderId="6" xfId="26" applyFill="1" applyBorder="1" applyAlignment="1" applyProtection="1">
      <alignment horizontal="center" vertical="center"/>
      <protection hidden="1"/>
    </xf>
    <xf numFmtId="0" fontId="3" fillId="4" borderId="5" xfId="26" applyFill="1" applyBorder="1" applyAlignment="1" applyProtection="1">
      <alignment horizontal="center" vertical="center"/>
      <protection hidden="1"/>
    </xf>
    <xf numFmtId="0" fontId="3" fillId="4" borderId="123" xfId="26" applyFill="1" applyBorder="1" applyAlignment="1" applyProtection="1">
      <alignment horizontal="center" vertical="center"/>
      <protection hidden="1"/>
    </xf>
    <xf numFmtId="0" fontId="3" fillId="4" borderId="124" xfId="26" applyFill="1" applyBorder="1" applyAlignment="1" applyProtection="1">
      <alignment horizontal="center" vertical="center"/>
      <protection hidden="1"/>
    </xf>
    <xf numFmtId="0" fontId="3" fillId="4" borderId="8" xfId="26" applyFill="1" applyBorder="1" applyAlignment="1" applyProtection="1">
      <alignment horizontal="center" vertical="center"/>
      <protection hidden="1"/>
    </xf>
    <xf numFmtId="0" fontId="3" fillId="4" borderId="2" xfId="26" applyFill="1" applyBorder="1" applyAlignment="1" applyProtection="1">
      <alignment horizontal="center" vertical="center"/>
      <protection hidden="1"/>
    </xf>
    <xf numFmtId="0" fontId="3" fillId="4" borderId="1" xfId="26" applyFill="1" applyBorder="1" applyAlignment="1" applyProtection="1">
      <alignment horizontal="center" vertical="center"/>
      <protection hidden="1"/>
    </xf>
    <xf numFmtId="0" fontId="10" fillId="0" borderId="0" xfId="11" applyFont="1" applyAlignment="1">
      <alignment horizontal="left" vertical="center"/>
    </xf>
    <xf numFmtId="184" fontId="7" fillId="0" borderId="0" xfId="1" applyNumberFormat="1" applyFont="1" applyAlignment="1" applyProtection="1">
      <alignment horizontal="center" vertical="center"/>
      <protection hidden="1"/>
    </xf>
    <xf numFmtId="0" fontId="10" fillId="0" borderId="4" xfId="11" applyFont="1" applyBorder="1" applyAlignment="1">
      <alignment horizontal="left" vertical="center"/>
    </xf>
    <xf numFmtId="184" fontId="7" fillId="0" borderId="4" xfId="1" applyNumberFormat="1" applyFont="1" applyBorder="1" applyAlignment="1" applyProtection="1">
      <alignment horizontal="center" vertical="center"/>
      <protection hidden="1"/>
    </xf>
    <xf numFmtId="0" fontId="10" fillId="0" borderId="8" xfId="11" applyFont="1" applyBorder="1" applyAlignment="1">
      <alignment horizontal="left" vertical="center" wrapText="1"/>
    </xf>
    <xf numFmtId="0" fontId="10" fillId="0" borderId="2" xfId="11" applyFont="1" applyBorder="1" applyAlignment="1">
      <alignment horizontal="left" vertical="center" wrapText="1"/>
    </xf>
    <xf numFmtId="0" fontId="10" fillId="0" borderId="1" xfId="11" applyFont="1" applyBorder="1" applyAlignment="1">
      <alignment horizontal="left" vertical="center" wrapText="1"/>
    </xf>
    <xf numFmtId="0" fontId="10" fillId="0" borderId="7" xfId="11" applyFont="1" applyBorder="1" applyAlignment="1">
      <alignment horizontal="left" vertical="center" wrapText="1"/>
    </xf>
    <xf numFmtId="0" fontId="10" fillId="0" borderId="46" xfId="5" applyFont="1" applyBorder="1" applyAlignment="1" applyProtection="1">
      <alignment horizontal="left" vertical="center" wrapText="1"/>
      <protection hidden="1"/>
    </xf>
    <xf numFmtId="0" fontId="10" fillId="0" borderId="59" xfId="5" applyFont="1" applyBorder="1" applyAlignment="1" applyProtection="1">
      <alignment horizontal="left" vertical="center" wrapText="1"/>
      <protection hidden="1"/>
    </xf>
    <xf numFmtId="0" fontId="28" fillId="0" borderId="8" xfId="0" applyFont="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20" xfId="0" applyFont="1" applyBorder="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24"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10" fillId="0" borderId="46" xfId="11" applyFont="1" applyBorder="1" applyAlignment="1">
      <alignment horizontal="left" vertical="center" wrapText="1"/>
    </xf>
    <xf numFmtId="0" fontId="10" fillId="0" borderId="58" xfId="11" applyFont="1" applyBorder="1" applyAlignment="1">
      <alignment horizontal="left" vertical="center" wrapText="1"/>
    </xf>
    <xf numFmtId="0" fontId="10" fillId="0" borderId="59" xfId="11" applyFont="1" applyBorder="1" applyAlignment="1">
      <alignment horizontal="left" vertical="center" wrapText="1"/>
    </xf>
    <xf numFmtId="0" fontId="28" fillId="0" borderId="7" xfId="0" applyFont="1" applyBorder="1" applyAlignment="1" applyProtection="1">
      <alignment horizontal="left" vertical="center" wrapText="1"/>
      <protection hidden="1"/>
    </xf>
    <xf numFmtId="0" fontId="28" fillId="0" borderId="46" xfId="0" applyFont="1" applyBorder="1" applyAlignment="1" applyProtection="1">
      <alignment horizontal="center" vertical="center"/>
      <protection hidden="1"/>
    </xf>
    <xf numFmtId="0" fontId="28" fillId="0" borderId="59" xfId="0" applyFont="1" applyBorder="1" applyAlignment="1" applyProtection="1">
      <alignment horizontal="center" vertical="center"/>
      <protection hidden="1"/>
    </xf>
    <xf numFmtId="0" fontId="10" fillId="0" borderId="6" xfId="11" applyFont="1" applyBorder="1" applyAlignment="1">
      <alignment horizontal="left" vertical="center" wrapText="1"/>
    </xf>
    <xf numFmtId="0" fontId="10" fillId="0" borderId="4" xfId="11" applyFont="1" applyBorder="1" applyAlignment="1">
      <alignment horizontal="left" vertical="center" wrapText="1"/>
    </xf>
    <xf numFmtId="0" fontId="10" fillId="0" borderId="5" xfId="11" applyFont="1" applyBorder="1" applyAlignment="1">
      <alignment horizontal="left" vertical="center" wrapText="1"/>
    </xf>
    <xf numFmtId="0" fontId="10" fillId="0" borderId="18" xfId="11" applyFont="1" applyBorder="1" applyAlignment="1">
      <alignment horizontal="left" vertical="center" wrapText="1"/>
    </xf>
    <xf numFmtId="0" fontId="10" fillId="0" borderId="17" xfId="11" applyFont="1" applyBorder="1" applyAlignment="1">
      <alignment horizontal="left" vertical="center" wrapText="1"/>
    </xf>
    <xf numFmtId="0" fontId="10" fillId="0" borderId="24" xfId="11" applyFont="1" applyBorder="1" applyAlignment="1">
      <alignment horizontal="left" vertical="center" wrapText="1"/>
    </xf>
    <xf numFmtId="0" fontId="10" fillId="0" borderId="6" xfId="5" applyFont="1" applyBorder="1" applyAlignment="1" applyProtection="1">
      <alignment horizontal="left" vertical="center" wrapText="1"/>
      <protection hidden="1"/>
    </xf>
    <xf numFmtId="0" fontId="10" fillId="0" borderId="4" xfId="5" applyFont="1" applyBorder="1" applyAlignment="1" applyProtection="1">
      <alignment horizontal="left" vertical="center" wrapText="1"/>
      <protection hidden="1"/>
    </xf>
    <xf numFmtId="0" fontId="10" fillId="0" borderId="5" xfId="5" applyFont="1" applyBorder="1" applyAlignment="1" applyProtection="1">
      <alignment horizontal="left" vertical="center" wrapText="1"/>
      <protection hidden="1"/>
    </xf>
    <xf numFmtId="0" fontId="10" fillId="0" borderId="18" xfId="5" applyFont="1" applyBorder="1" applyAlignment="1" applyProtection="1">
      <alignment horizontal="left" vertical="center" wrapText="1"/>
      <protection hidden="1"/>
    </xf>
    <xf numFmtId="0" fontId="10" fillId="0" borderId="17" xfId="5" applyFont="1" applyBorder="1" applyAlignment="1" applyProtection="1">
      <alignment horizontal="left" vertical="center" wrapText="1"/>
      <protection hidden="1"/>
    </xf>
    <xf numFmtId="0" fontId="10" fillId="0" borderId="24" xfId="5" applyFont="1" applyBorder="1" applyAlignment="1" applyProtection="1">
      <alignment horizontal="left" vertical="center" wrapText="1"/>
      <protection hidden="1"/>
    </xf>
    <xf numFmtId="0" fontId="10" fillId="0" borderId="7" xfId="11" applyFont="1" applyBorder="1" applyAlignment="1">
      <alignment horizontal="left" vertical="center"/>
    </xf>
    <xf numFmtId="0" fontId="10" fillId="0" borderId="8" xfId="11" applyFont="1" applyBorder="1" applyAlignment="1">
      <alignment horizontal="left" vertical="center"/>
    </xf>
    <xf numFmtId="0" fontId="7" fillId="0" borderId="7" xfId="0" applyFont="1" applyBorder="1" applyAlignment="1" applyProtection="1">
      <alignment horizontal="left" vertical="center" wrapText="1"/>
      <protection hidden="1"/>
    </xf>
    <xf numFmtId="0" fontId="10" fillId="0" borderId="7" xfId="5" applyFont="1" applyBorder="1" applyAlignment="1" applyProtection="1">
      <alignment horizontal="left" vertical="center" wrapText="1"/>
      <protection hidden="1"/>
    </xf>
    <xf numFmtId="0" fontId="10" fillId="0" borderId="7" xfId="10" applyFont="1" applyBorder="1" applyAlignment="1">
      <alignment horizontal="left" vertical="center" wrapText="1"/>
    </xf>
    <xf numFmtId="0" fontId="10" fillId="0" borderId="7" xfId="10" applyFont="1" applyBorder="1" applyAlignment="1">
      <alignment horizontal="left" vertical="center"/>
    </xf>
    <xf numFmtId="0" fontId="7" fillId="0" borderId="46" xfId="0"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10" fillId="0" borderId="46" xfId="11" applyFont="1" applyBorder="1" applyAlignment="1">
      <alignment vertical="center" wrapText="1"/>
    </xf>
    <xf numFmtId="0" fontId="10" fillId="0" borderId="58" xfId="11" applyFont="1" applyBorder="1" applyAlignment="1">
      <alignment vertical="center" wrapText="1"/>
    </xf>
    <xf numFmtId="0" fontId="10" fillId="0" borderId="59" xfId="11" applyFont="1" applyBorder="1" applyAlignment="1">
      <alignment vertical="center" wrapText="1"/>
    </xf>
    <xf numFmtId="0" fontId="6" fillId="0" borderId="0" xfId="0" applyFont="1" applyAlignment="1" applyProtection="1">
      <alignment horizontal="center" vertical="center"/>
      <protection hidden="1"/>
    </xf>
    <xf numFmtId="0" fontId="7" fillId="0" borderId="46" xfId="0" applyFont="1" applyBorder="1" applyAlignment="1" applyProtection="1">
      <alignment vertical="center" wrapText="1"/>
      <protection hidden="1"/>
    </xf>
    <xf numFmtId="0" fontId="7" fillId="0" borderId="58" xfId="0" applyFont="1" applyBorder="1" applyAlignment="1" applyProtection="1">
      <alignment vertical="center" wrapText="1"/>
      <protection hidden="1"/>
    </xf>
    <xf numFmtId="0" fontId="7" fillId="0" borderId="59" xfId="0" applyFont="1" applyBorder="1" applyAlignment="1" applyProtection="1">
      <alignment vertical="center" wrapText="1"/>
      <protection hidden="1"/>
    </xf>
    <xf numFmtId="0" fontId="7" fillId="3" borderId="8"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10" fillId="0" borderId="2" xfId="11" applyFont="1" applyBorder="1" applyAlignment="1">
      <alignment horizontal="left" vertical="center"/>
    </xf>
    <xf numFmtId="0" fontId="10" fillId="0" borderId="6" xfId="11" applyFont="1" applyBorder="1" applyAlignment="1">
      <alignment horizontal="left" vertical="center"/>
    </xf>
    <xf numFmtId="0" fontId="72" fillId="0" borderId="46" xfId="0" applyFont="1" applyBorder="1" applyAlignment="1" applyProtection="1">
      <alignment vertical="center" wrapText="1"/>
      <protection hidden="1"/>
    </xf>
    <xf numFmtId="0" fontId="72" fillId="0" borderId="58" xfId="0" applyFont="1" applyBorder="1" applyAlignment="1" applyProtection="1">
      <alignment vertical="center" wrapText="1"/>
      <protection hidden="1"/>
    </xf>
    <xf numFmtId="0" fontId="72" fillId="0" borderId="59" xfId="0" applyFont="1" applyBorder="1" applyAlignment="1" applyProtection="1">
      <alignment vertical="center" wrapText="1"/>
      <protection hidden="1"/>
    </xf>
    <xf numFmtId="0" fontId="72" fillId="0" borderId="7" xfId="0" applyFont="1" applyBorder="1" applyAlignment="1" applyProtection="1">
      <alignment horizontal="left" vertical="center" wrapText="1"/>
      <protection hidden="1"/>
    </xf>
    <xf numFmtId="0" fontId="72" fillId="0" borderId="8" xfId="0" applyFont="1" applyBorder="1" applyAlignment="1" applyProtection="1">
      <alignment horizontal="left" vertical="center" wrapText="1"/>
      <protection hidden="1"/>
    </xf>
    <xf numFmtId="0" fontId="69" fillId="0" borderId="46" xfId="11" applyFont="1" applyBorder="1" applyAlignment="1">
      <alignment horizontal="left" vertical="center" wrapText="1"/>
    </xf>
    <xf numFmtId="0" fontId="69" fillId="0" borderId="59" xfId="11" applyFont="1" applyBorder="1" applyAlignment="1">
      <alignment horizontal="left" vertical="center" wrapText="1"/>
    </xf>
    <xf numFmtId="0" fontId="72" fillId="0" borderId="2" xfId="0" applyFont="1" applyBorder="1" applyAlignment="1" applyProtection="1">
      <alignment horizontal="left" vertical="center" wrapText="1"/>
      <protection hidden="1"/>
    </xf>
    <xf numFmtId="0" fontId="69" fillId="0" borderId="7" xfId="11" applyFont="1" applyBorder="1" applyAlignment="1">
      <alignment horizontal="left" vertical="center" wrapText="1"/>
    </xf>
    <xf numFmtId="0" fontId="10" fillId="0" borderId="8" xfId="5" applyFont="1" applyBorder="1" applyAlignment="1" applyProtection="1">
      <alignment horizontal="left" vertical="center" wrapText="1"/>
      <protection hidden="1"/>
    </xf>
    <xf numFmtId="0" fontId="10" fillId="0" borderId="3" xfId="5" applyFont="1" applyBorder="1" applyAlignment="1" applyProtection="1">
      <alignment horizontal="left" vertical="center" wrapText="1"/>
      <protection hidden="1"/>
    </xf>
    <xf numFmtId="0" fontId="10" fillId="0" borderId="0" xfId="5" applyFont="1" applyAlignment="1" applyProtection="1">
      <alignment horizontal="left" vertical="center" wrapText="1"/>
      <protection hidden="1"/>
    </xf>
    <xf numFmtId="0" fontId="10" fillId="0" borderId="20" xfId="5" applyFont="1" applyBorder="1" applyAlignment="1" applyProtection="1">
      <alignment horizontal="left" vertical="center" wrapText="1"/>
      <protection hidden="1"/>
    </xf>
    <xf numFmtId="0" fontId="10" fillId="0" borderId="58" xfId="5"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10" fillId="16" borderId="7" xfId="15" applyFont="1" applyFill="1" applyBorder="1" applyAlignment="1" applyProtection="1">
      <alignment horizontal="center" vertical="center"/>
      <protection locked="0"/>
    </xf>
    <xf numFmtId="0" fontId="10" fillId="0" borderId="7" xfId="15" applyFont="1" applyBorder="1" applyAlignment="1" applyProtection="1">
      <alignment horizontal="center" vertical="center"/>
      <protection locked="0"/>
    </xf>
    <xf numFmtId="0" fontId="10" fillId="0" borderId="7" xfId="15" applyFont="1" applyBorder="1" applyAlignment="1" applyProtection="1">
      <alignment horizontal="center" vertical="center" wrapText="1"/>
      <protection locked="0"/>
    </xf>
    <xf numFmtId="193" fontId="10" fillId="12" borderId="7" xfId="15" applyNumberFormat="1" applyFont="1" applyFill="1" applyBorder="1" applyAlignment="1" applyProtection="1">
      <alignment horizontal="center" vertical="center"/>
      <protection locked="0"/>
    </xf>
    <xf numFmtId="194" fontId="10" fillId="8" borderId="7" xfId="15" applyNumberFormat="1" applyFont="1" applyFill="1" applyBorder="1" applyAlignment="1" applyProtection="1">
      <alignment horizontal="center" vertical="center"/>
      <protection locked="0"/>
    </xf>
    <xf numFmtId="0" fontId="10" fillId="8" borderId="7" xfId="15" applyFont="1" applyFill="1" applyBorder="1" applyAlignment="1" applyProtection="1">
      <alignment horizontal="center" vertical="center" wrapText="1"/>
      <protection locked="0"/>
    </xf>
    <xf numFmtId="0" fontId="10" fillId="8" borderId="7" xfId="15" applyFont="1" applyFill="1" applyBorder="1" applyAlignment="1" applyProtection="1">
      <alignment horizontal="center" vertical="center"/>
      <protection locked="0"/>
    </xf>
    <xf numFmtId="193" fontId="47" fillId="12" borderId="7" xfId="15" applyNumberFormat="1" applyFont="1" applyFill="1" applyBorder="1" applyAlignment="1" applyProtection="1">
      <alignment horizontal="center" vertical="center" wrapText="1"/>
      <protection locked="0"/>
    </xf>
    <xf numFmtId="0" fontId="47" fillId="12" borderId="7" xfId="15" applyFont="1" applyFill="1" applyBorder="1" applyAlignment="1" applyProtection="1">
      <alignment horizontal="center" vertical="center"/>
      <protection locked="0"/>
    </xf>
    <xf numFmtId="0" fontId="10" fillId="13" borderId="7" xfId="15" applyFont="1" applyFill="1" applyBorder="1" applyAlignment="1" applyProtection="1">
      <alignment horizontal="center" vertical="center" wrapText="1"/>
      <protection locked="0"/>
    </xf>
    <xf numFmtId="0" fontId="10" fillId="13" borderId="7" xfId="15" applyFont="1" applyFill="1" applyBorder="1" applyAlignment="1" applyProtection="1">
      <alignment horizontal="center" vertical="center"/>
      <protection locked="0"/>
    </xf>
    <xf numFmtId="180" fontId="10" fillId="0" borderId="7" xfId="15" applyNumberFormat="1" applyFont="1" applyBorder="1" applyAlignment="1" applyProtection="1">
      <alignment horizontal="center" vertical="center" wrapText="1"/>
      <protection locked="0"/>
    </xf>
    <xf numFmtId="180" fontId="10" fillId="0" borderId="7" xfId="15" applyNumberFormat="1" applyFont="1" applyBorder="1" applyAlignment="1" applyProtection="1">
      <alignment horizontal="center" vertical="center"/>
      <protection locked="0"/>
    </xf>
    <xf numFmtId="192" fontId="10" fillId="16" borderId="7" xfId="15" applyNumberFormat="1" applyFont="1" applyFill="1" applyBorder="1" applyAlignment="1" applyProtection="1">
      <alignment horizontal="center" vertical="center"/>
      <protection locked="0"/>
    </xf>
    <xf numFmtId="0" fontId="10" fillId="8" borderId="7" xfId="16" applyFont="1" applyFill="1" applyBorder="1" applyAlignment="1" applyProtection="1">
      <alignment horizontal="center" vertical="center" wrapText="1"/>
      <protection locked="0"/>
    </xf>
    <xf numFmtId="0" fontId="10" fillId="8" borderId="7" xfId="16" applyFont="1" applyFill="1" applyBorder="1" applyAlignment="1" applyProtection="1">
      <alignment horizontal="center" vertical="center"/>
      <protection locked="0"/>
    </xf>
    <xf numFmtId="0" fontId="10" fillId="12" borderId="7" xfId="16" applyFont="1" applyFill="1" applyBorder="1" applyAlignment="1" applyProtection="1">
      <alignment horizontal="center" vertical="center" wrapText="1"/>
      <protection locked="0"/>
    </xf>
    <xf numFmtId="0" fontId="10" fillId="12" borderId="7" xfId="16" applyFont="1" applyFill="1" applyBorder="1" applyAlignment="1" applyProtection="1">
      <alignment horizontal="center" vertical="center"/>
      <protection locked="0"/>
    </xf>
    <xf numFmtId="0" fontId="52" fillId="0" borderId="37" xfId="8" applyFont="1" applyBorder="1" applyAlignment="1" applyProtection="1">
      <alignment horizontal="center" vertical="center"/>
      <protection hidden="1"/>
    </xf>
    <xf numFmtId="0" fontId="52" fillId="0" borderId="28" xfId="8" applyFont="1" applyBorder="1" applyAlignment="1" applyProtection="1">
      <alignment horizontal="center" vertical="center"/>
      <protection hidden="1"/>
    </xf>
  </cellXfs>
  <cellStyles count="34">
    <cellStyle name="パーセント" xfId="1" builtinId="5"/>
    <cellStyle name="パーセント 2" xfId="19" xr:uid="{00000000-0005-0000-0000-000001000000}"/>
    <cellStyle name="パーセント 3" xfId="20" xr:uid="{00000000-0005-0000-0000-000002000000}"/>
    <cellStyle name="ハイパーリンク" xfId="32" builtinId="8"/>
    <cellStyle name="桁区切り" xfId="2" builtinId="6"/>
    <cellStyle name="桁区切り 2" xfId="3" xr:uid="{00000000-0005-0000-0000-000004000000}"/>
    <cellStyle name="桁区切り 2 2" xfId="14" xr:uid="{00000000-0005-0000-0000-000005000000}"/>
    <cellStyle name="桁区切り 3" xfId="21" xr:uid="{00000000-0005-0000-0000-000006000000}"/>
    <cellStyle name="桁区切り 4" xfId="22" xr:uid="{00000000-0005-0000-0000-000007000000}"/>
    <cellStyle name="標準" xfId="0" builtinId="0"/>
    <cellStyle name="標準 2" xfId="23" xr:uid="{00000000-0005-0000-0000-000009000000}"/>
    <cellStyle name="標準 3" xfId="24" xr:uid="{00000000-0005-0000-0000-00000A000000}"/>
    <cellStyle name="標準 3 2" xfId="25" xr:uid="{00000000-0005-0000-0000-00000B000000}"/>
    <cellStyle name="標準 4" xfId="17" xr:uid="{00000000-0005-0000-0000-00000C000000}"/>
    <cellStyle name="標準 5" xfId="33" xr:uid="{0AAD23FB-8EF4-46C4-9B45-925C741E2D7F}"/>
    <cellStyle name="標準 6" xfId="29" xr:uid="{DE9E0E4A-5803-4321-9C27-188A91FBF3AC}"/>
    <cellStyle name="標準_（作業用）H21【北海道】諸経費動向調査対象工事一覧表" xfId="15" xr:uid="{00000000-0005-0000-0000-00000D000000}"/>
    <cellStyle name="標準_【入力例】発注_建設" xfId="4" xr:uid="{00000000-0005-0000-0000-00000E000000}"/>
    <cellStyle name="標準_【入力例】発注_建設_H20調査票修正一覧071213" xfId="5" xr:uid="{00000000-0005-0000-0000-00000F000000}"/>
    <cellStyle name="標準_20121128_情報化施工調査票（案）齋藤_⑨発注" xfId="6" xr:uid="{00000000-0005-0000-0000-000010000000}"/>
    <cellStyle name="標準_20121128_情報化施工調査票（案）齋藤_⑨発注 2" xfId="28" xr:uid="{0A42BC54-D85E-4B65-8E56-8F4316C730AC}"/>
    <cellStyle name="標準_20121128_情報化施工調査票（案）齋藤_元請_情報化施工" xfId="30" xr:uid="{A49FA519-7472-47BC-9A3F-28D76CA01A6B}"/>
    <cellStyle name="標準_20121128_情報化施工調査票（案）齋藤_元請_情報化施工 2" xfId="31" xr:uid="{515D66EA-8FF0-42F6-B738-4F0C157223B5}"/>
    <cellStyle name="標準_Book1" xfId="7" xr:uid="{00000000-0005-0000-0000-000011000000}"/>
    <cellStyle name="標準_data table" xfId="18" xr:uid="{00000000-0005-0000-0000-000012000000}"/>
    <cellStyle name="標準_H12調査票元請" xfId="8" xr:uid="{00000000-0005-0000-0000-000013000000}"/>
    <cellStyle name="標準_H16諸経費変換" xfId="26" xr:uid="{C08F4E7A-DE1B-475D-9F23-35B8F3559695}"/>
    <cellStyle name="標準_準備：【下水】H20諸経費動向調査対象工事一覧表" xfId="16" xr:uid="{00000000-0005-0000-0000-000014000000}"/>
    <cellStyle name="標準_追加調査票" xfId="9" xr:uid="{00000000-0005-0000-0000-000015000000}"/>
    <cellStyle name="標準_発注チェック" xfId="10" xr:uid="{00000000-0005-0000-0000-000016000000}"/>
    <cellStyle name="標準_発注チェック 2" xfId="13" xr:uid="{00000000-0005-0000-0000-000017000000}"/>
    <cellStyle name="標準_発注チェック_H20調査票修正一覧071213" xfId="11" xr:uid="{00000000-0005-0000-0000-000018000000}"/>
    <cellStyle name="標準_発注チェック_H20調査票修正一覧071213 2" xfId="27" xr:uid="{8107740F-FCD6-488E-B5FC-3A2C090187DA}"/>
    <cellStyle name="標準_平成16年度コスト調査（中部）（５月）" xfId="12" xr:uid="{00000000-0005-0000-0000-000019000000}"/>
  </cellStyles>
  <dxfs count="14">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dxf>
    <dxf>
      <font>
        <b/>
        <i val="0"/>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s>
  <tableStyles count="0" defaultTableStyle="TableStyleMedium9" defaultPivotStyle="PivotStyleLight16"/>
  <colors>
    <mruColors>
      <color rgb="FF99CCFF"/>
      <color rgb="FFFF00FF"/>
      <color rgb="FFCCFF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金額構成比率（金額チェックの参考）</a:t>
            </a:r>
          </a:p>
        </c:rich>
      </c:tx>
      <c:layout>
        <c:manualLayout>
          <c:xMode val="edge"/>
          <c:yMode val="edge"/>
          <c:x val="0.30677332664094281"/>
          <c:y val="2.5839726332408962E-2"/>
        </c:manualLayout>
      </c:layout>
      <c:overlay val="0"/>
      <c:spPr>
        <a:noFill/>
        <a:ln w="25400">
          <a:noFill/>
        </a:ln>
      </c:spPr>
    </c:title>
    <c:autoTitleDeleted val="0"/>
    <c:plotArea>
      <c:layout>
        <c:manualLayout>
          <c:layoutTarget val="inner"/>
          <c:xMode val="edge"/>
          <c:yMode val="edge"/>
          <c:x val="8.3665447150781821E-2"/>
          <c:y val="0.10411317588240573"/>
          <c:w val="0.71580438117890566"/>
          <c:h val="0.8226226242560456"/>
        </c:manualLayout>
      </c:layout>
      <c:barChart>
        <c:barDir val="col"/>
        <c:grouping val="stacked"/>
        <c:varyColors val="0"/>
        <c:ser>
          <c:idx val="9"/>
          <c:order val="0"/>
          <c:tx>
            <c:v>機械器具等損料</c:v>
          </c:tx>
          <c:spPr>
            <a:solidFill>
              <a:srgbClr val="CCFF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(チェック!$E$27,チェック!$G$27)</c:f>
              <c:numCache>
                <c:formatCode>0.0%</c:formatCode>
                <c:ptCount val="2"/>
                <c:pt idx="0">
                  <c:v>0</c:v>
                </c:pt>
                <c:pt idx="1">
                  <c:v>0</c:v>
                </c:pt>
              </c:numCache>
            </c:numRef>
          </c:val>
          <c:extLst>
            <c:ext xmlns:c16="http://schemas.microsoft.com/office/drawing/2014/chart" uri="{C3380CC4-5D6E-409C-BE32-E72D297353CC}">
              <c16:uniqueId val="{00000000-4C2F-48C2-9E33-B3C2001F295D}"/>
            </c:ext>
          </c:extLst>
        </c:ser>
        <c:ser>
          <c:idx val="8"/>
          <c:order val="1"/>
          <c:tx>
            <c:v>労務費</c:v>
          </c:tx>
          <c:spPr>
            <a:solidFill>
              <a:srgbClr val="FFFF99"/>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(チェック!$E$26,チェック!$G$26)</c:f>
              <c:numCache>
                <c:formatCode>0.0%</c:formatCode>
                <c:ptCount val="2"/>
                <c:pt idx="0">
                  <c:v>0</c:v>
                </c:pt>
                <c:pt idx="1">
                  <c:v>0</c:v>
                </c:pt>
              </c:numCache>
            </c:numRef>
          </c:val>
          <c:extLst>
            <c:ext xmlns:c16="http://schemas.microsoft.com/office/drawing/2014/chart" uri="{C3380CC4-5D6E-409C-BE32-E72D297353CC}">
              <c16:uniqueId val="{00000001-4C2F-48C2-9E33-B3C2001F295D}"/>
            </c:ext>
          </c:extLst>
        </c:ser>
        <c:ser>
          <c:idx val="1"/>
          <c:order val="2"/>
          <c:tx>
            <c:v>材料費</c:v>
          </c:tx>
          <c:spPr>
            <a:solidFill>
              <a:srgbClr val="CCFF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(チェック!$E$24,チェック!$G$24)</c:f>
              <c:numCache>
                <c:formatCode>0.0%</c:formatCode>
                <c:ptCount val="2"/>
                <c:pt idx="0">
                  <c:v>0</c:v>
                </c:pt>
                <c:pt idx="1">
                  <c:v>0</c:v>
                </c:pt>
              </c:numCache>
            </c:numRef>
          </c:val>
          <c:extLst>
            <c:ext xmlns:c16="http://schemas.microsoft.com/office/drawing/2014/chart" uri="{C3380CC4-5D6E-409C-BE32-E72D297353CC}">
              <c16:uniqueId val="{00000002-4C2F-48C2-9E33-B3C2001F295D}"/>
            </c:ext>
          </c:extLst>
        </c:ser>
        <c:ser>
          <c:idx val="11"/>
          <c:order val="3"/>
          <c:tx>
            <c:v>市場単価</c:v>
          </c:tx>
          <c:spPr>
            <a:solidFill>
              <a:srgbClr val="CC99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(チェック!$E$29,チェック!$G$29)</c:f>
              <c:numCache>
                <c:formatCode>#,##0_);[Red]\(#,##0\)</c:formatCode>
                <c:ptCount val="2"/>
                <c:pt idx="0" formatCode="0.0%">
                  <c:v>0</c:v>
                </c:pt>
              </c:numCache>
            </c:numRef>
          </c:val>
          <c:extLst>
            <c:ext xmlns:c16="http://schemas.microsoft.com/office/drawing/2014/chart" uri="{C3380CC4-5D6E-409C-BE32-E72D297353CC}">
              <c16:uniqueId val="{00000003-4C2F-48C2-9E33-B3C2001F295D}"/>
            </c:ext>
          </c:extLst>
        </c:ser>
        <c:ser>
          <c:idx val="10"/>
          <c:order val="4"/>
          <c:tx>
            <c:v>その他</c:v>
          </c:tx>
          <c:spPr>
            <a:solidFill>
              <a:srgbClr val="99CC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(チェック!$E$30,チェック!$G$30)</c:f>
              <c:numCache>
                <c:formatCode>0.0%</c:formatCode>
                <c:ptCount val="2"/>
                <c:pt idx="0">
                  <c:v>0</c:v>
                </c:pt>
                <c:pt idx="1">
                  <c:v>0</c:v>
                </c:pt>
              </c:numCache>
            </c:numRef>
          </c:val>
          <c:extLst>
            <c:ext xmlns:c16="http://schemas.microsoft.com/office/drawing/2014/chart" uri="{C3380CC4-5D6E-409C-BE32-E72D297353CC}">
              <c16:uniqueId val="{00000004-4C2F-48C2-9E33-B3C2001F295D}"/>
            </c:ext>
          </c:extLst>
        </c:ser>
        <c:ser>
          <c:idx val="0"/>
          <c:order val="5"/>
          <c:tx>
            <c:v>共通仮設費</c:v>
          </c:tx>
          <c:spPr>
            <a:solidFill>
              <a:srgbClr val="FF99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(チェック!$E$32,チェック!$G$32)</c:f>
              <c:numCache>
                <c:formatCode>0.0%</c:formatCode>
                <c:ptCount val="2"/>
                <c:pt idx="0">
                  <c:v>0</c:v>
                </c:pt>
                <c:pt idx="1">
                  <c:v>0</c:v>
                </c:pt>
              </c:numCache>
            </c:numRef>
          </c:val>
          <c:extLst>
            <c:ext xmlns:c16="http://schemas.microsoft.com/office/drawing/2014/chart" uri="{C3380CC4-5D6E-409C-BE32-E72D297353CC}">
              <c16:uniqueId val="{00000005-4C2F-48C2-9E33-B3C2001F295D}"/>
            </c:ext>
          </c:extLst>
        </c:ser>
        <c:ser>
          <c:idx val="3"/>
          <c:order val="6"/>
          <c:tx>
            <c:v>現場管理費</c:v>
          </c:tx>
          <c:spPr>
            <a:solidFill>
              <a:srgbClr val="FFCC99"/>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(チェック!$E$37,チェック!$G$37)</c:f>
              <c:numCache>
                <c:formatCode>0.0%</c:formatCode>
                <c:ptCount val="2"/>
                <c:pt idx="0">
                  <c:v>0</c:v>
                </c:pt>
                <c:pt idx="1">
                  <c:v>0</c:v>
                </c:pt>
              </c:numCache>
            </c:numRef>
          </c:val>
          <c:extLst>
            <c:ext xmlns:c16="http://schemas.microsoft.com/office/drawing/2014/chart" uri="{C3380CC4-5D6E-409C-BE32-E72D297353CC}">
              <c16:uniqueId val="{00000006-4C2F-48C2-9E33-B3C2001F295D}"/>
            </c:ext>
          </c:extLst>
        </c:ser>
        <c:ser>
          <c:idx val="2"/>
          <c:order val="7"/>
          <c:tx>
            <c:v>補償費</c:v>
          </c:tx>
          <c:spPr>
            <a:solidFill>
              <a:srgbClr val="FFCC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(チェック!$E$36,チェック!$G$36)</c:f>
              <c:numCache>
                <c:formatCode>0.0%</c:formatCode>
                <c:ptCount val="2"/>
                <c:pt idx="0">
                  <c:v>0</c:v>
                </c:pt>
                <c:pt idx="1">
                  <c:v>0</c:v>
                </c:pt>
              </c:numCache>
            </c:numRef>
          </c:val>
          <c:extLst>
            <c:ext xmlns:c16="http://schemas.microsoft.com/office/drawing/2014/chart" uri="{C3380CC4-5D6E-409C-BE32-E72D297353CC}">
              <c16:uniqueId val="{00000007-4C2F-48C2-9E33-B3C2001F295D}"/>
            </c:ext>
          </c:extLst>
        </c:ser>
        <c:ser>
          <c:idx val="4"/>
          <c:order val="8"/>
          <c:tx>
            <c:v>機器間接費</c:v>
          </c:tx>
          <c:spPr>
            <a:solidFill>
              <a:srgbClr val="00FF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(チェック!$E$38,チェック!$G$38)</c:f>
              <c:numCache>
                <c:formatCode>0.0%</c:formatCode>
                <c:ptCount val="2"/>
                <c:pt idx="0">
                  <c:v>0</c:v>
                </c:pt>
                <c:pt idx="1">
                  <c:v>0</c:v>
                </c:pt>
              </c:numCache>
            </c:numRef>
          </c:val>
          <c:extLst>
            <c:ext xmlns:c16="http://schemas.microsoft.com/office/drawing/2014/chart" uri="{C3380CC4-5D6E-409C-BE32-E72D297353CC}">
              <c16:uniqueId val="{00000008-4C2F-48C2-9E33-B3C2001F295D}"/>
            </c:ext>
          </c:extLst>
        </c:ser>
        <c:ser>
          <c:idx val="7"/>
          <c:order val="9"/>
          <c:tx>
            <c:v>一般管理費等</c:v>
          </c:tx>
          <c:spPr>
            <a:solidFill>
              <a:srgbClr val="FFFF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(チェック!$E$40,チェック!$G$40)</c:f>
              <c:numCache>
                <c:formatCode>0.0%</c:formatCode>
                <c:ptCount val="2"/>
                <c:pt idx="0">
                  <c:v>0</c:v>
                </c:pt>
                <c:pt idx="1">
                  <c:v>0</c:v>
                </c:pt>
              </c:numCache>
            </c:numRef>
          </c:val>
          <c:extLst>
            <c:ext xmlns:c16="http://schemas.microsoft.com/office/drawing/2014/chart" uri="{C3380CC4-5D6E-409C-BE32-E72D297353CC}">
              <c16:uniqueId val="{00000009-4C2F-48C2-9E33-B3C2001F295D}"/>
            </c:ext>
          </c:extLst>
        </c:ser>
        <c:ser>
          <c:idx val="5"/>
          <c:order val="10"/>
          <c:tx>
            <c:v>鋼橋等工場製作費</c:v>
          </c:tx>
          <c:spPr>
            <a:solidFill>
              <a:srgbClr val="99CC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(チェック!$E$41,チェック!$G$41)</c:f>
              <c:numCache>
                <c:formatCode>0.0%</c:formatCode>
                <c:ptCount val="2"/>
                <c:pt idx="0">
                  <c:v>0</c:v>
                </c:pt>
                <c:pt idx="1">
                  <c:v>0</c:v>
                </c:pt>
              </c:numCache>
            </c:numRef>
          </c:val>
          <c:extLst>
            <c:ext xmlns:c16="http://schemas.microsoft.com/office/drawing/2014/chart" uri="{C3380CC4-5D6E-409C-BE32-E72D297353CC}">
              <c16:uniqueId val="{0000000A-4C2F-48C2-9E33-B3C2001F295D}"/>
            </c:ext>
          </c:extLst>
        </c:ser>
        <c:ser>
          <c:idx val="6"/>
          <c:order val="11"/>
          <c:tx>
            <c:v>別途調査等工事価格</c:v>
          </c:tx>
          <c:spPr>
            <a:solidFill>
              <a:srgbClr val="3366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(チェック!$E$42,チェック!$G$42)</c:f>
              <c:numCache>
                <c:formatCode>0.0%</c:formatCode>
                <c:ptCount val="2"/>
                <c:pt idx="0">
                  <c:v>0</c:v>
                </c:pt>
                <c:pt idx="1">
                  <c:v>0</c:v>
                </c:pt>
              </c:numCache>
            </c:numRef>
          </c:val>
          <c:extLst>
            <c:ext xmlns:c16="http://schemas.microsoft.com/office/drawing/2014/chart" uri="{C3380CC4-5D6E-409C-BE32-E72D297353CC}">
              <c16:uniqueId val="{0000000B-4C2F-48C2-9E33-B3C2001F295D}"/>
            </c:ext>
          </c:extLst>
        </c:ser>
        <c:dLbls>
          <c:showLegendKey val="0"/>
          <c:showVal val="0"/>
          <c:showCatName val="0"/>
          <c:showSerName val="0"/>
          <c:showPercent val="0"/>
          <c:showBubbleSize val="0"/>
        </c:dLbls>
        <c:gapWidth val="200"/>
        <c:overlap val="100"/>
        <c:axId val="199644672"/>
        <c:axId val="199646592"/>
      </c:barChart>
      <c:catAx>
        <c:axId val="1996446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99646592"/>
        <c:crosses val="autoZero"/>
        <c:auto val="1"/>
        <c:lblAlgn val="ctr"/>
        <c:lblOffset val="100"/>
        <c:tickLblSkip val="1"/>
        <c:tickMarkSkip val="1"/>
        <c:noMultiLvlLbl val="0"/>
      </c:catAx>
      <c:valAx>
        <c:axId val="199646592"/>
        <c:scaling>
          <c:orientation val="minMax"/>
          <c:max val="1"/>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99644672"/>
        <c:crosses val="autoZero"/>
        <c:crossBetween val="between"/>
      </c:valAx>
      <c:spPr>
        <a:solidFill>
          <a:srgbClr val="C0C0C0"/>
        </a:solidFill>
        <a:ln w="12700">
          <a:solidFill>
            <a:srgbClr val="808080"/>
          </a:solidFill>
          <a:prstDash val="solid"/>
        </a:ln>
      </c:spPr>
    </c:plotArea>
    <c:legend>
      <c:legendPos val="r"/>
      <c:layout>
        <c:manualLayout>
          <c:xMode val="edge"/>
          <c:yMode val="edge"/>
          <c:x val="0.80478192021227613"/>
          <c:y val="0.38688970297042341"/>
          <c:w val="0.18990728480256822"/>
          <c:h val="0.2904886141904177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2" r="0.750000000000002"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a:t>金額構成比率（金額チェックの参考）</a:t>
            </a:r>
          </a:p>
        </c:rich>
      </c:tx>
      <c:overlay val="0"/>
      <c:spPr>
        <a:noFill/>
        <a:ln w="25400">
          <a:noFill/>
        </a:ln>
      </c:spPr>
    </c:title>
    <c:autoTitleDeleted val="0"/>
    <c:plotArea>
      <c:layout/>
      <c:barChart>
        <c:barDir val="col"/>
        <c:grouping val="stacked"/>
        <c:varyColors val="0"/>
        <c:ser>
          <c:idx val="1"/>
          <c:order val="0"/>
          <c:tx>
            <c:v>直接工事費</c:v>
          </c:tx>
          <c:spPr>
            <a:solidFill>
              <a:srgbClr val="993366"/>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(チェック!$E$23,チェック!$G$23)</c:f>
              <c:numCache>
                <c:formatCode>0.0%</c:formatCode>
                <c:ptCount val="2"/>
                <c:pt idx="0">
                  <c:v>0</c:v>
                </c:pt>
                <c:pt idx="1">
                  <c:v>0</c:v>
                </c:pt>
              </c:numCache>
            </c:numRef>
          </c:val>
          <c:extLst>
            <c:ext xmlns:c16="http://schemas.microsoft.com/office/drawing/2014/chart" uri="{C3380CC4-5D6E-409C-BE32-E72D297353CC}">
              <c16:uniqueId val="{00000000-41A6-4618-860F-DB7DB376052B}"/>
            </c:ext>
          </c:extLst>
        </c:ser>
        <c:ser>
          <c:idx val="0"/>
          <c:order val="1"/>
          <c:tx>
            <c:v>共通仮設費</c:v>
          </c:tx>
          <c:spPr>
            <a:solidFill>
              <a:srgbClr val="9999FF"/>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(チェック!$E$32,チェック!$G$32)</c:f>
              <c:numCache>
                <c:formatCode>0.0%</c:formatCode>
                <c:ptCount val="2"/>
                <c:pt idx="0">
                  <c:v>0</c:v>
                </c:pt>
                <c:pt idx="1">
                  <c:v>0</c:v>
                </c:pt>
              </c:numCache>
            </c:numRef>
          </c:val>
          <c:extLst>
            <c:ext xmlns:c16="http://schemas.microsoft.com/office/drawing/2014/chart" uri="{C3380CC4-5D6E-409C-BE32-E72D297353CC}">
              <c16:uniqueId val="{00000001-41A6-4618-860F-DB7DB376052B}"/>
            </c:ext>
          </c:extLst>
        </c:ser>
        <c:ser>
          <c:idx val="2"/>
          <c:order val="2"/>
          <c:tx>
            <c:v>補償費</c:v>
          </c:tx>
          <c:spPr>
            <a:solidFill>
              <a:srgbClr val="FFFFCC"/>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(チェック!$E$36,チェック!$G$36)</c:f>
              <c:numCache>
                <c:formatCode>0.0%</c:formatCode>
                <c:ptCount val="2"/>
                <c:pt idx="0">
                  <c:v>0</c:v>
                </c:pt>
                <c:pt idx="1">
                  <c:v>0</c:v>
                </c:pt>
              </c:numCache>
            </c:numRef>
          </c:val>
          <c:extLst>
            <c:ext xmlns:c16="http://schemas.microsoft.com/office/drawing/2014/chart" uri="{C3380CC4-5D6E-409C-BE32-E72D297353CC}">
              <c16:uniqueId val="{00000002-41A6-4618-860F-DB7DB376052B}"/>
            </c:ext>
          </c:extLst>
        </c:ser>
        <c:ser>
          <c:idx val="3"/>
          <c:order val="3"/>
          <c:tx>
            <c:v>現場管理費</c:v>
          </c:tx>
          <c:spPr>
            <a:solidFill>
              <a:srgbClr val="CCFFFF"/>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(チェック!$E$37,チェック!$G$37)</c:f>
              <c:numCache>
                <c:formatCode>0.0%</c:formatCode>
                <c:ptCount val="2"/>
                <c:pt idx="0">
                  <c:v>0</c:v>
                </c:pt>
                <c:pt idx="1">
                  <c:v>0</c:v>
                </c:pt>
              </c:numCache>
            </c:numRef>
          </c:val>
          <c:extLst>
            <c:ext xmlns:c16="http://schemas.microsoft.com/office/drawing/2014/chart" uri="{C3380CC4-5D6E-409C-BE32-E72D297353CC}">
              <c16:uniqueId val="{00000003-41A6-4618-860F-DB7DB376052B}"/>
            </c:ext>
          </c:extLst>
        </c:ser>
        <c:ser>
          <c:idx val="4"/>
          <c:order val="4"/>
          <c:tx>
            <c:v>技術者間接費</c:v>
          </c:tx>
          <c:spPr>
            <a:solidFill>
              <a:srgbClr val="FFCC00"/>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(チェック!$E$38,チェック!$G$38)</c:f>
              <c:numCache>
                <c:formatCode>0.0%</c:formatCode>
                <c:ptCount val="2"/>
                <c:pt idx="0">
                  <c:v>0</c:v>
                </c:pt>
                <c:pt idx="1">
                  <c:v>0</c:v>
                </c:pt>
              </c:numCache>
            </c:numRef>
          </c:val>
          <c:extLst>
            <c:ext xmlns:c16="http://schemas.microsoft.com/office/drawing/2014/chart" uri="{C3380CC4-5D6E-409C-BE32-E72D297353CC}">
              <c16:uniqueId val="{00000004-41A6-4618-860F-DB7DB376052B}"/>
            </c:ext>
          </c:extLst>
        </c:ser>
        <c:ser>
          <c:idx val="7"/>
          <c:order val="5"/>
          <c:tx>
            <c:v>一般管理費等</c:v>
          </c:tx>
          <c:spPr>
            <a:solidFill>
              <a:srgbClr val="CCCCFF"/>
            </a:solidFill>
            <a:ln w="12700">
              <a:solidFill>
                <a:srgbClr val="000000"/>
              </a:solidFill>
              <a:prstDash val="solid"/>
            </a:ln>
          </c:spPr>
          <c:invertIfNegative val="0"/>
          <c:val>
            <c:numRef>
              <c:f>(チェック!$E$40,チェック!$G$40)</c:f>
              <c:numCache>
                <c:formatCode>0.0%</c:formatCode>
                <c:ptCount val="2"/>
                <c:pt idx="0">
                  <c:v>0</c:v>
                </c:pt>
                <c:pt idx="1">
                  <c:v>0</c:v>
                </c:pt>
              </c:numCache>
            </c:numRef>
          </c:val>
          <c:extLst>
            <c:ext xmlns:c16="http://schemas.microsoft.com/office/drawing/2014/chart" uri="{C3380CC4-5D6E-409C-BE32-E72D297353CC}">
              <c16:uniqueId val="{00000005-41A6-4618-860F-DB7DB376052B}"/>
            </c:ext>
          </c:extLst>
        </c:ser>
        <c:ser>
          <c:idx val="5"/>
          <c:order val="6"/>
          <c:tx>
            <c:v>鋼橋等工場製作費</c:v>
          </c:tx>
          <c:spPr>
            <a:solidFill>
              <a:srgbClr val="FF8080"/>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(チェック!$E$41,チェック!$G$41)</c:f>
              <c:numCache>
                <c:formatCode>0.0%</c:formatCode>
                <c:ptCount val="2"/>
                <c:pt idx="0">
                  <c:v>0</c:v>
                </c:pt>
                <c:pt idx="1">
                  <c:v>0</c:v>
                </c:pt>
              </c:numCache>
            </c:numRef>
          </c:val>
          <c:extLst>
            <c:ext xmlns:c16="http://schemas.microsoft.com/office/drawing/2014/chart" uri="{C3380CC4-5D6E-409C-BE32-E72D297353CC}">
              <c16:uniqueId val="{00000006-41A6-4618-860F-DB7DB376052B}"/>
            </c:ext>
          </c:extLst>
        </c:ser>
        <c:ser>
          <c:idx val="6"/>
          <c:order val="7"/>
          <c:tx>
            <c:v>別途調査等工事価格</c:v>
          </c:tx>
          <c:spPr>
            <a:solidFill>
              <a:srgbClr val="0066CC"/>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(チェック!$E$42,チェック!$G$42)</c:f>
              <c:numCache>
                <c:formatCode>0.0%</c:formatCode>
                <c:ptCount val="2"/>
                <c:pt idx="0">
                  <c:v>0</c:v>
                </c:pt>
                <c:pt idx="1">
                  <c:v>0</c:v>
                </c:pt>
              </c:numCache>
            </c:numRef>
          </c:val>
          <c:extLst>
            <c:ext xmlns:c16="http://schemas.microsoft.com/office/drawing/2014/chart" uri="{C3380CC4-5D6E-409C-BE32-E72D297353CC}">
              <c16:uniqueId val="{00000007-41A6-4618-860F-DB7DB376052B}"/>
            </c:ext>
          </c:extLst>
        </c:ser>
        <c:dLbls>
          <c:showLegendKey val="0"/>
          <c:showVal val="0"/>
          <c:showCatName val="0"/>
          <c:showSerName val="0"/>
          <c:showPercent val="0"/>
          <c:showBubbleSize val="0"/>
        </c:dLbls>
        <c:gapWidth val="200"/>
        <c:overlap val="100"/>
        <c:axId val="239266048"/>
        <c:axId val="242676096"/>
      </c:barChart>
      <c:catAx>
        <c:axId val="239266048"/>
        <c:scaling>
          <c:orientation val="minMax"/>
        </c:scaling>
        <c:delete val="0"/>
        <c:axPos val="b"/>
        <c:numFmt formatCode="General" sourceLinked="1"/>
        <c:majorTickMark val="in"/>
        <c:minorTickMark val="none"/>
        <c:tickLblPos val="nextTo"/>
        <c:spPr>
          <a:ln w="3175">
            <a:solidFill>
              <a:srgbClr val="000000"/>
            </a:solidFill>
            <a:prstDash val="solid"/>
          </a:ln>
        </c:spPr>
        <c:txPr>
          <a:bodyPr rot="-540000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242676096"/>
        <c:crosses val="autoZero"/>
        <c:auto val="1"/>
        <c:lblAlgn val="ctr"/>
        <c:lblOffset val="100"/>
        <c:tickLblSkip val="2"/>
        <c:tickMarkSkip val="1"/>
        <c:noMultiLvlLbl val="0"/>
      </c:catAx>
      <c:valAx>
        <c:axId val="242676096"/>
        <c:scaling>
          <c:orientation val="minMax"/>
          <c:max val="1"/>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239266048"/>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2" r="0.750000000000002"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xdr:rowOff>
    </xdr:from>
    <xdr:to>
      <xdr:col>8</xdr:col>
      <xdr:colOff>133350</xdr:colOff>
      <xdr:row>19</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ゴシック"/>
              <a:ea typeface="ＭＳ Ｐゴシック"/>
            </a:rPr>
            <a:t>発注用の</a:t>
          </a:r>
        </a:p>
        <a:p>
          <a:pPr algn="ctr" rtl="0">
            <a:defRPr sz="1000"/>
          </a:pPr>
          <a:r>
            <a:rPr lang="ja-JP" altLang="en-US" sz="1000" b="0" i="0" strike="noStrike">
              <a:solidFill>
                <a:srgbClr val="000000"/>
              </a:solidFill>
              <a:latin typeface="ＭＳ Ｐゴシック"/>
              <a:ea typeface="ＭＳ Ｐゴシック"/>
            </a:rPr>
            <a:t>ｼｰﾄ</a:t>
          </a:r>
        </a:p>
      </xdr:txBody>
    </xdr:sp>
    <xdr:clientData/>
  </xdr:twoCellAnchor>
  <xdr:twoCellAnchor>
    <xdr:from>
      <xdr:col>0</xdr:col>
      <xdr:colOff>200024</xdr:colOff>
      <xdr:row>27</xdr:row>
      <xdr:rowOff>0</xdr:rowOff>
    </xdr:from>
    <xdr:to>
      <xdr:col>36</xdr:col>
      <xdr:colOff>190499</xdr:colOff>
      <xdr:row>42</xdr:row>
      <xdr:rowOff>20411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200024" y="4000500"/>
          <a:ext cx="7096125" cy="2325461"/>
        </a:xfrm>
        <a:prstGeom prst="rect">
          <a:avLst/>
        </a:prstGeom>
        <a:solidFill>
          <a:srgbClr val="FFFFFF"/>
        </a:solidFill>
        <a:ln w="38100" cap="flat" cmpd="sng" algn="ctr">
          <a:solidFill>
            <a:srgbClr val="FF0000"/>
          </a:solidFill>
          <a:prstDash val="solid"/>
          <a:round/>
          <a:headEnd type="none" w="med" len="med"/>
          <a:tailEnd type="none" w="med" len="med"/>
        </a:ln>
        <a:effectLst/>
      </xdr:spPr>
      <xdr:txBody>
        <a:bodyPr vertOverflow="clip" wrap="square" lIns="91440" tIns="45720" rIns="91440" bIns="45720" rtlCol="0" anchor="ctr" upright="1"/>
        <a:lstStyle/>
        <a:p>
          <a:pPr algn="ctr"/>
          <a:r>
            <a:rPr kumimoji="1" lang="ja-JP" altLang="en-US" sz="1100" b="1"/>
            <a:t>＜調査票入力に関する問合せ先＞</a:t>
          </a:r>
          <a:endParaRPr kumimoji="1" lang="en-US" altLang="ja-JP" sz="1100" b="1"/>
        </a:p>
        <a:p>
          <a:pPr algn="ctr"/>
          <a:endParaRPr kumimoji="1" lang="en-US" altLang="ja-JP" sz="1100"/>
        </a:p>
        <a:p>
          <a:pPr algn="l"/>
          <a:r>
            <a:rPr kumimoji="1" lang="en-US" altLang="ja-JP" sz="1100"/>
            <a:t>	</a:t>
          </a:r>
          <a:r>
            <a:rPr kumimoji="1" lang="ja-JP" altLang="en-US" sz="1100" b="1"/>
            <a:t>一般財団法人　国土技術研究センター</a:t>
          </a:r>
          <a:endParaRPr kumimoji="1" lang="en-US" altLang="ja-JP" sz="1100" b="1"/>
        </a:p>
        <a:p>
          <a:pPr algn="l"/>
          <a:r>
            <a:rPr kumimoji="1" lang="en-US" altLang="ja-JP" sz="1100" b="1"/>
            <a:t>		</a:t>
          </a:r>
          <a:r>
            <a:rPr kumimoji="1" lang="ja-JP" altLang="en-US" sz="1100" b="1"/>
            <a:t>技術・調達政策グループ</a:t>
          </a:r>
          <a:endParaRPr kumimoji="1" lang="en-US" altLang="ja-JP" sz="1100" b="1"/>
        </a:p>
        <a:p>
          <a:pPr algn="l"/>
          <a:r>
            <a:rPr kumimoji="1" lang="en-US" altLang="ja-JP" sz="1100" b="1"/>
            <a:t>	</a:t>
          </a:r>
          <a:r>
            <a:rPr kumimoji="1" lang="ja-JP" altLang="en-US" sz="1100" b="1"/>
            <a:t>〒</a:t>
          </a:r>
          <a:r>
            <a:rPr kumimoji="1" lang="en-US" altLang="ja-JP" sz="1100" b="1"/>
            <a:t>105-0001</a:t>
          </a:r>
          <a:r>
            <a:rPr kumimoji="1" lang="ja-JP" altLang="en-US" sz="1100" b="1"/>
            <a:t>　東京都港区虎ノ門</a:t>
          </a:r>
          <a:r>
            <a:rPr kumimoji="1" lang="en-US" altLang="ja-JP" sz="1100" b="1"/>
            <a:t>3-12-1</a:t>
          </a:r>
          <a:r>
            <a:rPr kumimoji="1" lang="ja-JP" altLang="en-US" sz="1100" b="1"/>
            <a:t>（ニッセイ虎ノ門ビル</a:t>
          </a:r>
          <a:r>
            <a:rPr kumimoji="1" lang="en-US" altLang="ja-JP" sz="1100" b="1"/>
            <a:t>9</a:t>
          </a:r>
          <a:r>
            <a:rPr kumimoji="1" lang="ja-JP" altLang="en-US" sz="1100" b="1"/>
            <a:t>階</a:t>
          </a:r>
          <a:r>
            <a:rPr kumimoji="1" lang="en-US" altLang="ja-JP" sz="1100"/>
            <a:t>)</a:t>
          </a:r>
        </a:p>
        <a:p>
          <a:pPr algn="l"/>
          <a:endParaRPr kumimoji="1" lang="en-US" altLang="ja-JP" sz="1100"/>
        </a:p>
        <a:p>
          <a:pPr algn="ctr"/>
          <a:r>
            <a:rPr kumimoji="1" lang="en-US" altLang="ja-JP" sz="1600" b="1"/>
            <a:t>TEL</a:t>
          </a:r>
          <a:r>
            <a:rPr kumimoji="1" lang="ja-JP" altLang="en-US" sz="1600" b="1"/>
            <a:t> 　</a:t>
          </a:r>
          <a:r>
            <a:rPr kumimoji="1" lang="en-US" altLang="ja-JP" sz="1600" b="1"/>
            <a:t>03-4519-5004</a:t>
          </a:r>
        </a:p>
        <a:p>
          <a:pPr algn="ctr"/>
          <a:r>
            <a:rPr kumimoji="1" lang="en-US" altLang="ja-JP" sz="1600" b="1"/>
            <a:t>FAX</a:t>
          </a:r>
          <a:r>
            <a:rPr kumimoji="1" lang="ja-JP" altLang="en-US" sz="1600" b="1"/>
            <a:t>　</a:t>
          </a:r>
          <a:r>
            <a:rPr kumimoji="1" lang="en-US" altLang="ja-JP" sz="1600" b="1"/>
            <a:t>03-4519-5015</a:t>
          </a:r>
        </a:p>
        <a:p>
          <a:pPr algn="ctr"/>
          <a:endParaRPr kumimoji="1" lang="en-US" altLang="ja-JP" sz="1100"/>
        </a:p>
        <a:p>
          <a:r>
            <a:rPr kumimoji="1" lang="ja-JP" altLang="ja-JP" sz="1100">
              <a:effectLst/>
              <a:latin typeface="+mn-lt"/>
              <a:ea typeface="+mn-ea"/>
              <a:cs typeface="+mn-cs"/>
            </a:rPr>
            <a:t>注</a:t>
          </a:r>
          <a:r>
            <a:rPr kumimoji="1" lang="en-US" altLang="ja-JP" sz="1100">
              <a:effectLst/>
              <a:latin typeface="+mn-lt"/>
              <a:ea typeface="+mn-ea"/>
              <a:cs typeface="+mn-cs"/>
            </a:rPr>
            <a:t>)</a:t>
          </a:r>
          <a:r>
            <a:rPr kumimoji="1" lang="ja-JP" altLang="ja-JP" sz="1100">
              <a:effectLst/>
              <a:latin typeface="+mn-lt"/>
              <a:ea typeface="+mn-ea"/>
              <a:cs typeface="+mn-cs"/>
            </a:rPr>
            <a:t>：問合せは平日</a:t>
          </a:r>
          <a:r>
            <a:rPr kumimoji="1" lang="en-US" altLang="ja-JP" sz="1100">
              <a:effectLst/>
              <a:latin typeface="+mn-lt"/>
              <a:ea typeface="+mn-ea"/>
              <a:cs typeface="+mn-cs"/>
            </a:rPr>
            <a:t>(</a:t>
          </a:r>
          <a:r>
            <a:rPr kumimoji="1" lang="ja-JP" altLang="ja-JP" sz="1100">
              <a:effectLst/>
              <a:latin typeface="+mn-lt"/>
              <a:ea typeface="+mn-ea"/>
              <a:cs typeface="+mn-cs"/>
            </a:rPr>
            <a:t>祝日を除く月曜日～金曜日</a:t>
          </a:r>
          <a:r>
            <a:rPr kumimoji="1" lang="en-US" altLang="ja-JP" sz="1100">
              <a:effectLst/>
              <a:latin typeface="+mn-lt"/>
              <a:ea typeface="+mn-ea"/>
              <a:cs typeface="+mn-cs"/>
            </a:rPr>
            <a:t>)</a:t>
          </a:r>
          <a:r>
            <a:rPr kumimoji="1" lang="ja-JP" altLang="ja-JP" sz="1100">
              <a:effectLst/>
              <a:latin typeface="+mn-lt"/>
              <a:ea typeface="+mn-ea"/>
              <a:cs typeface="+mn-cs"/>
            </a:rPr>
            <a:t>の午前９時３０分から１２時、午後１時から午後６時の間にお願いします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273843</xdr:colOff>
      <xdr:row>3</xdr:row>
      <xdr:rowOff>321468</xdr:rowOff>
    </xdr:from>
    <xdr:to>
      <xdr:col>23</xdr:col>
      <xdr:colOff>416455</xdr:colOff>
      <xdr:row>21</xdr:row>
      <xdr:rowOff>83343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4687" y="1154906"/>
          <a:ext cx="5943600" cy="457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9525</xdr:colOff>
      <xdr:row>10</xdr:row>
      <xdr:rowOff>193675</xdr:rowOff>
    </xdr:from>
    <xdr:to>
      <xdr:col>30</xdr:col>
      <xdr:colOff>374762</xdr:colOff>
      <xdr:row>10</xdr:row>
      <xdr:rowOff>193675</xdr:rowOff>
    </xdr:to>
    <xdr:cxnSp macro="">
      <xdr:nvCxnSpPr>
        <xdr:cNvPr id="3" name="AutoShape 8619">
          <a:extLst>
            <a:ext uri="{FF2B5EF4-FFF2-40B4-BE49-F238E27FC236}">
              <a16:creationId xmlns:a16="http://schemas.microsoft.com/office/drawing/2014/main" id="{4D5C2774-AD69-479D-81CE-171C37FA0CFB}"/>
            </a:ext>
          </a:extLst>
        </xdr:cNvPr>
        <xdr:cNvCxnSpPr>
          <a:cxnSpLocks noChangeShapeType="1"/>
        </xdr:cNvCxnSpPr>
      </xdr:nvCxnSpPr>
      <xdr:spPr bwMode="auto">
        <a:xfrm>
          <a:off x="10038790" y="3118410"/>
          <a:ext cx="4466590" cy="0"/>
        </a:xfrm>
        <a:prstGeom prst="straightConnector1">
          <a:avLst/>
        </a:prstGeom>
        <a:noFill/>
        <a:ln w="317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24</xdr:col>
      <xdr:colOff>0</xdr:colOff>
      <xdr:row>9</xdr:row>
      <xdr:rowOff>78441</xdr:rowOff>
    </xdr:from>
    <xdr:to>
      <xdr:col>24</xdr:col>
      <xdr:colOff>635</xdr:colOff>
      <xdr:row>11</xdr:row>
      <xdr:rowOff>124759</xdr:rowOff>
    </xdr:to>
    <xdr:cxnSp macro="">
      <xdr:nvCxnSpPr>
        <xdr:cNvPr id="4" name="AutoShape 8621">
          <a:extLst>
            <a:ext uri="{FF2B5EF4-FFF2-40B4-BE49-F238E27FC236}">
              <a16:creationId xmlns:a16="http://schemas.microsoft.com/office/drawing/2014/main" id="{B47F3439-500B-4655-8305-3458620CC49F}"/>
            </a:ext>
          </a:extLst>
        </xdr:cNvPr>
        <xdr:cNvCxnSpPr>
          <a:cxnSpLocks noChangeShapeType="1"/>
        </xdr:cNvCxnSpPr>
      </xdr:nvCxnSpPr>
      <xdr:spPr bwMode="auto">
        <a:xfrm flipV="1">
          <a:off x="10029265" y="2734235"/>
          <a:ext cx="635" cy="584200"/>
        </a:xfrm>
        <a:prstGeom prst="straightConnector1">
          <a:avLst/>
        </a:prstGeom>
        <a:noFill/>
        <a:ln w="127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30</xdr:col>
      <xdr:colOff>380976</xdr:colOff>
      <xdr:row>9</xdr:row>
      <xdr:rowOff>78442</xdr:rowOff>
    </xdr:from>
    <xdr:to>
      <xdr:col>30</xdr:col>
      <xdr:colOff>381675</xdr:colOff>
      <xdr:row>11</xdr:row>
      <xdr:rowOff>124760</xdr:rowOff>
    </xdr:to>
    <xdr:cxnSp macro="">
      <xdr:nvCxnSpPr>
        <xdr:cNvPr id="5" name="AutoShape 8621">
          <a:extLst>
            <a:ext uri="{FF2B5EF4-FFF2-40B4-BE49-F238E27FC236}">
              <a16:creationId xmlns:a16="http://schemas.microsoft.com/office/drawing/2014/main" id="{AA70162A-2F94-4202-B475-93E7524C3ECA}"/>
            </a:ext>
          </a:extLst>
        </xdr:cNvPr>
        <xdr:cNvCxnSpPr>
          <a:cxnSpLocks noChangeShapeType="1"/>
        </xdr:cNvCxnSpPr>
      </xdr:nvCxnSpPr>
      <xdr:spPr bwMode="auto">
        <a:xfrm flipV="1">
          <a:off x="14511594" y="2734236"/>
          <a:ext cx="699" cy="584200"/>
        </a:xfrm>
        <a:prstGeom prst="straightConnector1">
          <a:avLst/>
        </a:prstGeom>
        <a:noFill/>
        <a:ln w="127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26</xdr:col>
      <xdr:colOff>123266</xdr:colOff>
      <xdr:row>9</xdr:row>
      <xdr:rowOff>67236</xdr:rowOff>
    </xdr:from>
    <xdr:to>
      <xdr:col>26</xdr:col>
      <xdr:colOff>123901</xdr:colOff>
      <xdr:row>11</xdr:row>
      <xdr:rowOff>113554</xdr:rowOff>
    </xdr:to>
    <xdr:cxnSp macro="">
      <xdr:nvCxnSpPr>
        <xdr:cNvPr id="6" name="AutoShape 8636">
          <a:extLst>
            <a:ext uri="{FF2B5EF4-FFF2-40B4-BE49-F238E27FC236}">
              <a16:creationId xmlns:a16="http://schemas.microsoft.com/office/drawing/2014/main" id="{AA4154D1-9AC8-4F38-ABDA-C7F5F1BF8433}"/>
            </a:ext>
          </a:extLst>
        </xdr:cNvPr>
        <xdr:cNvCxnSpPr>
          <a:cxnSpLocks noChangeShapeType="1"/>
        </xdr:cNvCxnSpPr>
      </xdr:nvCxnSpPr>
      <xdr:spPr bwMode="auto">
        <a:xfrm flipV="1">
          <a:off x="11519648" y="2723030"/>
          <a:ext cx="635" cy="584200"/>
        </a:xfrm>
        <a:prstGeom prst="straightConnector1">
          <a:avLst/>
        </a:prstGeom>
        <a:noFill/>
        <a:ln w="127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23</xdr:col>
      <xdr:colOff>549088</xdr:colOff>
      <xdr:row>8</xdr:row>
      <xdr:rowOff>123265</xdr:rowOff>
    </xdr:from>
    <xdr:to>
      <xdr:col>24</xdr:col>
      <xdr:colOff>193189</xdr:colOff>
      <xdr:row>9</xdr:row>
      <xdr:rowOff>141344</xdr:rowOff>
    </xdr:to>
    <xdr:sp macro="" textlink="">
      <xdr:nvSpPr>
        <xdr:cNvPr id="7" name="Text Box 8629">
          <a:extLst>
            <a:ext uri="{FF2B5EF4-FFF2-40B4-BE49-F238E27FC236}">
              <a16:creationId xmlns:a16="http://schemas.microsoft.com/office/drawing/2014/main" id="{A3FF5498-964A-451B-A890-644629544BA6}"/>
            </a:ext>
          </a:extLst>
        </xdr:cNvPr>
        <xdr:cNvSpPr txBox="1">
          <a:spLocks noChangeArrowheads="1"/>
        </xdr:cNvSpPr>
      </xdr:nvSpPr>
      <xdr:spPr bwMode="auto">
        <a:xfrm>
          <a:off x="9894794" y="2510118"/>
          <a:ext cx="327660"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just"/>
          <a:r>
            <a:rPr lang="ja-JP" sz="900" kern="100">
              <a:effectLst/>
              <a:latin typeface="Century" panose="02040604050505020304" pitchFamily="18" charset="0"/>
              <a:ea typeface="ＭＳ ゴシック" panose="020B0609070205080204" pitchFamily="49"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672353</xdr:colOff>
      <xdr:row>8</xdr:row>
      <xdr:rowOff>112059</xdr:rowOff>
    </xdr:from>
    <xdr:to>
      <xdr:col>26</xdr:col>
      <xdr:colOff>316455</xdr:colOff>
      <xdr:row>9</xdr:row>
      <xdr:rowOff>130138</xdr:rowOff>
    </xdr:to>
    <xdr:sp macro="" textlink="">
      <xdr:nvSpPr>
        <xdr:cNvPr id="8" name="Text Box 8629">
          <a:extLst>
            <a:ext uri="{FF2B5EF4-FFF2-40B4-BE49-F238E27FC236}">
              <a16:creationId xmlns:a16="http://schemas.microsoft.com/office/drawing/2014/main" id="{1DDF0F39-E66C-4783-A20B-36EC244ED184}"/>
            </a:ext>
          </a:extLst>
        </xdr:cNvPr>
        <xdr:cNvSpPr txBox="1">
          <a:spLocks noChangeArrowheads="1"/>
        </xdr:cNvSpPr>
      </xdr:nvSpPr>
      <xdr:spPr bwMode="auto">
        <a:xfrm>
          <a:off x="11385177" y="2498912"/>
          <a:ext cx="327660"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just"/>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30</xdr:col>
      <xdr:colOff>235326</xdr:colOff>
      <xdr:row>8</xdr:row>
      <xdr:rowOff>123266</xdr:rowOff>
    </xdr:from>
    <xdr:to>
      <xdr:col>30</xdr:col>
      <xdr:colOff>562986</xdr:colOff>
      <xdr:row>9</xdr:row>
      <xdr:rowOff>141345</xdr:rowOff>
    </xdr:to>
    <xdr:sp macro="" textlink="">
      <xdr:nvSpPr>
        <xdr:cNvPr id="9" name="Text Box 8629">
          <a:extLst>
            <a:ext uri="{FF2B5EF4-FFF2-40B4-BE49-F238E27FC236}">
              <a16:creationId xmlns:a16="http://schemas.microsoft.com/office/drawing/2014/main" id="{3C9225FA-3D35-4403-9EE7-02C91CE9059D}"/>
            </a:ext>
          </a:extLst>
        </xdr:cNvPr>
        <xdr:cNvSpPr txBox="1">
          <a:spLocks noChangeArrowheads="1"/>
        </xdr:cNvSpPr>
      </xdr:nvSpPr>
      <xdr:spPr bwMode="auto">
        <a:xfrm>
          <a:off x="14365944" y="2510119"/>
          <a:ext cx="327660"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just"/>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⑤</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26</xdr:col>
      <xdr:colOff>160804</xdr:colOff>
      <xdr:row>9</xdr:row>
      <xdr:rowOff>211268</xdr:rowOff>
    </xdr:from>
    <xdr:to>
      <xdr:col>30</xdr:col>
      <xdr:colOff>324970</xdr:colOff>
      <xdr:row>9</xdr:row>
      <xdr:rowOff>211268</xdr:rowOff>
    </xdr:to>
    <xdr:cxnSp macro="">
      <xdr:nvCxnSpPr>
        <xdr:cNvPr id="10" name="AutoShape 8623">
          <a:extLst>
            <a:ext uri="{FF2B5EF4-FFF2-40B4-BE49-F238E27FC236}">
              <a16:creationId xmlns:a16="http://schemas.microsoft.com/office/drawing/2014/main" id="{A9662290-633D-43A3-B6A5-F921877B620F}"/>
            </a:ext>
          </a:extLst>
        </xdr:cNvPr>
        <xdr:cNvCxnSpPr>
          <a:cxnSpLocks noChangeShapeType="1"/>
        </xdr:cNvCxnSpPr>
      </xdr:nvCxnSpPr>
      <xdr:spPr bwMode="auto">
        <a:xfrm>
          <a:off x="11557186" y="2867062"/>
          <a:ext cx="2898402" cy="0"/>
        </a:xfrm>
        <a:prstGeom prst="straightConnector1">
          <a:avLst/>
        </a:prstGeom>
        <a:noFill/>
        <a:ln w="12700">
          <a:solidFill>
            <a:srgbClr val="000000"/>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27</xdr:col>
      <xdr:colOff>425822</xdr:colOff>
      <xdr:row>8</xdr:row>
      <xdr:rowOff>168088</xdr:rowOff>
    </xdr:from>
    <xdr:to>
      <xdr:col>29</xdr:col>
      <xdr:colOff>78439</xdr:colOff>
      <xdr:row>9</xdr:row>
      <xdr:rowOff>186167</xdr:rowOff>
    </xdr:to>
    <xdr:sp macro="" textlink="">
      <xdr:nvSpPr>
        <xdr:cNvPr id="12" name="Text Box 8629">
          <a:extLst>
            <a:ext uri="{FF2B5EF4-FFF2-40B4-BE49-F238E27FC236}">
              <a16:creationId xmlns:a16="http://schemas.microsoft.com/office/drawing/2014/main" id="{FC0F97CC-9F6C-4C95-ADB3-1D6E0F871676}"/>
            </a:ext>
          </a:extLst>
        </xdr:cNvPr>
        <xdr:cNvSpPr txBox="1">
          <a:spLocks noChangeArrowheads="1"/>
        </xdr:cNvSpPr>
      </xdr:nvSpPr>
      <xdr:spPr bwMode="auto">
        <a:xfrm>
          <a:off x="12505763" y="2554941"/>
          <a:ext cx="1019735"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ct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実工期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24</xdr:col>
      <xdr:colOff>22412</xdr:colOff>
      <xdr:row>9</xdr:row>
      <xdr:rowOff>212911</xdr:rowOff>
    </xdr:from>
    <xdr:to>
      <xdr:col>26</xdr:col>
      <xdr:colOff>100854</xdr:colOff>
      <xdr:row>9</xdr:row>
      <xdr:rowOff>212911</xdr:rowOff>
    </xdr:to>
    <xdr:cxnSp macro="">
      <xdr:nvCxnSpPr>
        <xdr:cNvPr id="13" name="AutoShape 8623">
          <a:extLst>
            <a:ext uri="{FF2B5EF4-FFF2-40B4-BE49-F238E27FC236}">
              <a16:creationId xmlns:a16="http://schemas.microsoft.com/office/drawing/2014/main" id="{5842CD3D-DF14-4A80-8B8E-3425562AB307}"/>
            </a:ext>
          </a:extLst>
        </xdr:cNvPr>
        <xdr:cNvCxnSpPr>
          <a:cxnSpLocks noChangeShapeType="1"/>
        </xdr:cNvCxnSpPr>
      </xdr:nvCxnSpPr>
      <xdr:spPr bwMode="auto">
        <a:xfrm>
          <a:off x="10051677" y="2868705"/>
          <a:ext cx="1445559" cy="0"/>
        </a:xfrm>
        <a:prstGeom prst="straightConnector1">
          <a:avLst/>
        </a:prstGeom>
        <a:noFill/>
        <a:ln w="12700">
          <a:solidFill>
            <a:srgbClr val="000000"/>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24</xdr:col>
      <xdr:colOff>235323</xdr:colOff>
      <xdr:row>8</xdr:row>
      <xdr:rowOff>179294</xdr:rowOff>
    </xdr:from>
    <xdr:to>
      <xdr:col>25</xdr:col>
      <xdr:colOff>571499</xdr:colOff>
      <xdr:row>9</xdr:row>
      <xdr:rowOff>197373</xdr:rowOff>
    </xdr:to>
    <xdr:sp macro="" textlink="">
      <xdr:nvSpPr>
        <xdr:cNvPr id="15" name="Text Box 8629">
          <a:extLst>
            <a:ext uri="{FF2B5EF4-FFF2-40B4-BE49-F238E27FC236}">
              <a16:creationId xmlns:a16="http://schemas.microsoft.com/office/drawing/2014/main" id="{C3537272-8148-4764-9CCC-C67E3B0DE9D1}"/>
            </a:ext>
          </a:extLst>
        </xdr:cNvPr>
        <xdr:cNvSpPr txBox="1">
          <a:spLocks noChangeArrowheads="1"/>
        </xdr:cNvSpPr>
      </xdr:nvSpPr>
      <xdr:spPr bwMode="auto">
        <a:xfrm>
          <a:off x="10264588" y="2566147"/>
          <a:ext cx="1019735"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ct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余裕期間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24</xdr:col>
      <xdr:colOff>20732</xdr:colOff>
      <xdr:row>14</xdr:row>
      <xdr:rowOff>137646</xdr:rowOff>
    </xdr:from>
    <xdr:to>
      <xdr:col>29</xdr:col>
      <xdr:colOff>661147</xdr:colOff>
      <xdr:row>14</xdr:row>
      <xdr:rowOff>137646</xdr:rowOff>
    </xdr:to>
    <xdr:cxnSp macro="">
      <xdr:nvCxnSpPr>
        <xdr:cNvPr id="16" name="AutoShape 8619">
          <a:extLst>
            <a:ext uri="{FF2B5EF4-FFF2-40B4-BE49-F238E27FC236}">
              <a16:creationId xmlns:a16="http://schemas.microsoft.com/office/drawing/2014/main" id="{D5387933-4126-414A-8468-05A908624687}"/>
            </a:ext>
          </a:extLst>
        </xdr:cNvPr>
        <xdr:cNvCxnSpPr>
          <a:cxnSpLocks noChangeShapeType="1"/>
        </xdr:cNvCxnSpPr>
      </xdr:nvCxnSpPr>
      <xdr:spPr bwMode="auto">
        <a:xfrm>
          <a:off x="9590556" y="4138146"/>
          <a:ext cx="4058209" cy="0"/>
        </a:xfrm>
        <a:prstGeom prst="straightConnector1">
          <a:avLst/>
        </a:prstGeom>
        <a:noFill/>
        <a:ln w="317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24</xdr:col>
      <xdr:colOff>11207</xdr:colOff>
      <xdr:row>13</xdr:row>
      <xdr:rowOff>22412</xdr:rowOff>
    </xdr:from>
    <xdr:to>
      <xdr:col>24</xdr:col>
      <xdr:colOff>11842</xdr:colOff>
      <xdr:row>14</xdr:row>
      <xdr:rowOff>337671</xdr:rowOff>
    </xdr:to>
    <xdr:cxnSp macro="">
      <xdr:nvCxnSpPr>
        <xdr:cNvPr id="17" name="AutoShape 8621">
          <a:extLst>
            <a:ext uri="{FF2B5EF4-FFF2-40B4-BE49-F238E27FC236}">
              <a16:creationId xmlns:a16="http://schemas.microsoft.com/office/drawing/2014/main" id="{78311E14-DD6F-450C-B95F-3BF0FFAE613B}"/>
            </a:ext>
          </a:extLst>
        </xdr:cNvPr>
        <xdr:cNvCxnSpPr>
          <a:cxnSpLocks noChangeShapeType="1"/>
        </xdr:cNvCxnSpPr>
      </xdr:nvCxnSpPr>
      <xdr:spPr bwMode="auto">
        <a:xfrm flipV="1">
          <a:off x="9581031" y="3753971"/>
          <a:ext cx="635" cy="584200"/>
        </a:xfrm>
        <a:prstGeom prst="straightConnector1">
          <a:avLst/>
        </a:prstGeom>
        <a:noFill/>
        <a:ln w="127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29</xdr:col>
      <xdr:colOff>672326</xdr:colOff>
      <xdr:row>13</xdr:row>
      <xdr:rowOff>22413</xdr:rowOff>
    </xdr:from>
    <xdr:to>
      <xdr:col>29</xdr:col>
      <xdr:colOff>673025</xdr:colOff>
      <xdr:row>14</xdr:row>
      <xdr:rowOff>337672</xdr:rowOff>
    </xdr:to>
    <xdr:cxnSp macro="">
      <xdr:nvCxnSpPr>
        <xdr:cNvPr id="18" name="AutoShape 8621">
          <a:extLst>
            <a:ext uri="{FF2B5EF4-FFF2-40B4-BE49-F238E27FC236}">
              <a16:creationId xmlns:a16="http://schemas.microsoft.com/office/drawing/2014/main" id="{0B91DDED-C115-4113-BAD8-AD63E0F73027}"/>
            </a:ext>
          </a:extLst>
        </xdr:cNvPr>
        <xdr:cNvCxnSpPr>
          <a:cxnSpLocks noChangeShapeType="1"/>
        </xdr:cNvCxnSpPr>
      </xdr:nvCxnSpPr>
      <xdr:spPr bwMode="auto">
        <a:xfrm flipV="1">
          <a:off x="13659944" y="3753972"/>
          <a:ext cx="699" cy="584200"/>
        </a:xfrm>
        <a:prstGeom prst="straightConnector1">
          <a:avLst/>
        </a:prstGeom>
        <a:noFill/>
        <a:ln w="127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25</xdr:col>
      <xdr:colOff>437032</xdr:colOff>
      <xdr:row>13</xdr:row>
      <xdr:rowOff>22413</xdr:rowOff>
    </xdr:from>
    <xdr:to>
      <xdr:col>25</xdr:col>
      <xdr:colOff>437667</xdr:colOff>
      <xdr:row>14</xdr:row>
      <xdr:rowOff>337672</xdr:rowOff>
    </xdr:to>
    <xdr:cxnSp macro="">
      <xdr:nvCxnSpPr>
        <xdr:cNvPr id="19" name="AutoShape 8636">
          <a:extLst>
            <a:ext uri="{FF2B5EF4-FFF2-40B4-BE49-F238E27FC236}">
              <a16:creationId xmlns:a16="http://schemas.microsoft.com/office/drawing/2014/main" id="{CE4BA135-E1FA-45D1-82E7-42E8368447DB}"/>
            </a:ext>
          </a:extLst>
        </xdr:cNvPr>
        <xdr:cNvCxnSpPr>
          <a:cxnSpLocks noChangeShapeType="1"/>
        </xdr:cNvCxnSpPr>
      </xdr:nvCxnSpPr>
      <xdr:spPr bwMode="auto">
        <a:xfrm flipV="1">
          <a:off x="10690414" y="3753972"/>
          <a:ext cx="635" cy="584200"/>
        </a:xfrm>
        <a:prstGeom prst="straightConnector1">
          <a:avLst/>
        </a:prstGeom>
        <a:noFill/>
        <a:ln w="127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23</xdr:col>
      <xdr:colOff>560295</xdr:colOff>
      <xdr:row>12</xdr:row>
      <xdr:rowOff>67236</xdr:rowOff>
    </xdr:from>
    <xdr:to>
      <xdr:col>24</xdr:col>
      <xdr:colOff>204396</xdr:colOff>
      <xdr:row>13</xdr:row>
      <xdr:rowOff>85315</xdr:rowOff>
    </xdr:to>
    <xdr:sp macro="" textlink="">
      <xdr:nvSpPr>
        <xdr:cNvPr id="20" name="Text Box 8629">
          <a:extLst>
            <a:ext uri="{FF2B5EF4-FFF2-40B4-BE49-F238E27FC236}">
              <a16:creationId xmlns:a16="http://schemas.microsoft.com/office/drawing/2014/main" id="{CBF8049D-1A81-40DC-B228-C92610669DA1}"/>
            </a:ext>
          </a:extLst>
        </xdr:cNvPr>
        <xdr:cNvSpPr txBox="1">
          <a:spLocks noChangeArrowheads="1"/>
        </xdr:cNvSpPr>
      </xdr:nvSpPr>
      <xdr:spPr bwMode="auto">
        <a:xfrm>
          <a:off x="9446560" y="3529854"/>
          <a:ext cx="327660"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just"/>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302566</xdr:colOff>
      <xdr:row>12</xdr:row>
      <xdr:rowOff>56030</xdr:rowOff>
    </xdr:from>
    <xdr:to>
      <xdr:col>25</xdr:col>
      <xdr:colOff>630227</xdr:colOff>
      <xdr:row>13</xdr:row>
      <xdr:rowOff>74109</xdr:rowOff>
    </xdr:to>
    <xdr:sp macro="" textlink="">
      <xdr:nvSpPr>
        <xdr:cNvPr id="21" name="Text Box 8629">
          <a:extLst>
            <a:ext uri="{FF2B5EF4-FFF2-40B4-BE49-F238E27FC236}">
              <a16:creationId xmlns:a16="http://schemas.microsoft.com/office/drawing/2014/main" id="{F85F0AA0-50C1-4B30-B0D4-2D59BB267B29}"/>
            </a:ext>
          </a:extLst>
        </xdr:cNvPr>
        <xdr:cNvSpPr txBox="1">
          <a:spLocks noChangeArrowheads="1"/>
        </xdr:cNvSpPr>
      </xdr:nvSpPr>
      <xdr:spPr bwMode="auto">
        <a:xfrm>
          <a:off x="10555948" y="3518648"/>
          <a:ext cx="327661"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just"/>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29</xdr:col>
      <xdr:colOff>537881</xdr:colOff>
      <xdr:row>12</xdr:row>
      <xdr:rowOff>67237</xdr:rowOff>
    </xdr:from>
    <xdr:to>
      <xdr:col>30</xdr:col>
      <xdr:colOff>181983</xdr:colOff>
      <xdr:row>13</xdr:row>
      <xdr:rowOff>85316</xdr:rowOff>
    </xdr:to>
    <xdr:sp macro="" textlink="">
      <xdr:nvSpPr>
        <xdr:cNvPr id="22" name="Text Box 8629">
          <a:extLst>
            <a:ext uri="{FF2B5EF4-FFF2-40B4-BE49-F238E27FC236}">
              <a16:creationId xmlns:a16="http://schemas.microsoft.com/office/drawing/2014/main" id="{6B23DA60-FA35-4DF9-A0FA-A3A89479C943}"/>
            </a:ext>
          </a:extLst>
        </xdr:cNvPr>
        <xdr:cNvSpPr txBox="1">
          <a:spLocks noChangeArrowheads="1"/>
        </xdr:cNvSpPr>
      </xdr:nvSpPr>
      <xdr:spPr bwMode="auto">
        <a:xfrm>
          <a:off x="13525499" y="3529855"/>
          <a:ext cx="327660"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just"/>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⑧</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463364</xdr:colOff>
      <xdr:row>13</xdr:row>
      <xdr:rowOff>155239</xdr:rowOff>
    </xdr:from>
    <xdr:to>
      <xdr:col>29</xdr:col>
      <xdr:colOff>627529</xdr:colOff>
      <xdr:row>13</xdr:row>
      <xdr:rowOff>155239</xdr:rowOff>
    </xdr:to>
    <xdr:cxnSp macro="">
      <xdr:nvCxnSpPr>
        <xdr:cNvPr id="23" name="AutoShape 8623">
          <a:extLst>
            <a:ext uri="{FF2B5EF4-FFF2-40B4-BE49-F238E27FC236}">
              <a16:creationId xmlns:a16="http://schemas.microsoft.com/office/drawing/2014/main" id="{6AEC5954-1361-4A1E-9CC5-1F1CE7E91808}"/>
            </a:ext>
          </a:extLst>
        </xdr:cNvPr>
        <xdr:cNvCxnSpPr>
          <a:cxnSpLocks noChangeShapeType="1"/>
        </xdr:cNvCxnSpPr>
      </xdr:nvCxnSpPr>
      <xdr:spPr bwMode="auto">
        <a:xfrm>
          <a:off x="10716746" y="3886798"/>
          <a:ext cx="2898401" cy="0"/>
        </a:xfrm>
        <a:prstGeom prst="straightConnector1">
          <a:avLst/>
        </a:prstGeom>
        <a:noFill/>
        <a:ln w="12700">
          <a:solidFill>
            <a:srgbClr val="000000"/>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27</xdr:col>
      <xdr:colOff>89647</xdr:colOff>
      <xdr:row>12</xdr:row>
      <xdr:rowOff>112059</xdr:rowOff>
    </xdr:from>
    <xdr:to>
      <xdr:col>28</xdr:col>
      <xdr:colOff>425823</xdr:colOff>
      <xdr:row>13</xdr:row>
      <xdr:rowOff>130138</xdr:rowOff>
    </xdr:to>
    <xdr:sp macro="" textlink="">
      <xdr:nvSpPr>
        <xdr:cNvPr id="24" name="Text Box 8629">
          <a:extLst>
            <a:ext uri="{FF2B5EF4-FFF2-40B4-BE49-F238E27FC236}">
              <a16:creationId xmlns:a16="http://schemas.microsoft.com/office/drawing/2014/main" id="{572CA0C9-7616-4D78-9338-0F57C423456E}"/>
            </a:ext>
          </a:extLst>
        </xdr:cNvPr>
        <xdr:cNvSpPr txBox="1">
          <a:spLocks noChangeArrowheads="1"/>
        </xdr:cNvSpPr>
      </xdr:nvSpPr>
      <xdr:spPr bwMode="auto">
        <a:xfrm>
          <a:off x="11710147" y="3574677"/>
          <a:ext cx="1019735"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ct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実工期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24</xdr:col>
      <xdr:colOff>33619</xdr:colOff>
      <xdr:row>13</xdr:row>
      <xdr:rowOff>156882</xdr:rowOff>
    </xdr:from>
    <xdr:to>
      <xdr:col>25</xdr:col>
      <xdr:colOff>425824</xdr:colOff>
      <xdr:row>13</xdr:row>
      <xdr:rowOff>156882</xdr:rowOff>
    </xdr:to>
    <xdr:cxnSp macro="">
      <xdr:nvCxnSpPr>
        <xdr:cNvPr id="25" name="AutoShape 8623">
          <a:extLst>
            <a:ext uri="{FF2B5EF4-FFF2-40B4-BE49-F238E27FC236}">
              <a16:creationId xmlns:a16="http://schemas.microsoft.com/office/drawing/2014/main" id="{70F414A7-07D4-4170-8B8D-1C0D7A8CE9CF}"/>
            </a:ext>
          </a:extLst>
        </xdr:cNvPr>
        <xdr:cNvCxnSpPr>
          <a:cxnSpLocks noChangeShapeType="1"/>
        </xdr:cNvCxnSpPr>
      </xdr:nvCxnSpPr>
      <xdr:spPr bwMode="auto">
        <a:xfrm>
          <a:off x="9603443" y="3888441"/>
          <a:ext cx="1075763" cy="0"/>
        </a:xfrm>
        <a:prstGeom prst="straightConnector1">
          <a:avLst/>
        </a:prstGeom>
        <a:noFill/>
        <a:ln w="12700">
          <a:solidFill>
            <a:srgbClr val="000000"/>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24</xdr:col>
      <xdr:colOff>67236</xdr:colOff>
      <xdr:row>12</xdr:row>
      <xdr:rowOff>100853</xdr:rowOff>
    </xdr:from>
    <xdr:to>
      <xdr:col>25</xdr:col>
      <xdr:colOff>403412</xdr:colOff>
      <xdr:row>13</xdr:row>
      <xdr:rowOff>118932</xdr:rowOff>
    </xdr:to>
    <xdr:sp macro="" textlink="">
      <xdr:nvSpPr>
        <xdr:cNvPr id="26" name="Text Box 8629">
          <a:extLst>
            <a:ext uri="{FF2B5EF4-FFF2-40B4-BE49-F238E27FC236}">
              <a16:creationId xmlns:a16="http://schemas.microsoft.com/office/drawing/2014/main" id="{B8FE33E4-9D06-4AD3-8F9A-1C4E096B5D9B}"/>
            </a:ext>
          </a:extLst>
        </xdr:cNvPr>
        <xdr:cNvSpPr txBox="1">
          <a:spLocks noChangeArrowheads="1"/>
        </xdr:cNvSpPr>
      </xdr:nvSpPr>
      <xdr:spPr bwMode="auto">
        <a:xfrm>
          <a:off x="9637060" y="3563471"/>
          <a:ext cx="1019734"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ct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余裕期間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448236</xdr:colOff>
      <xdr:row>10</xdr:row>
      <xdr:rowOff>22412</xdr:rowOff>
    </xdr:from>
    <xdr:to>
      <xdr:col>26</xdr:col>
      <xdr:colOff>120949</xdr:colOff>
      <xdr:row>14</xdr:row>
      <xdr:rowOff>0</xdr:rowOff>
    </xdr:to>
    <xdr:cxnSp macro="">
      <xdr:nvCxnSpPr>
        <xdr:cNvPr id="27" name="AutoShape 8627">
          <a:extLst>
            <a:ext uri="{FF2B5EF4-FFF2-40B4-BE49-F238E27FC236}">
              <a16:creationId xmlns:a16="http://schemas.microsoft.com/office/drawing/2014/main" id="{26F8902A-CA73-46F4-A337-46B05BC42B97}"/>
            </a:ext>
          </a:extLst>
        </xdr:cNvPr>
        <xdr:cNvCxnSpPr>
          <a:cxnSpLocks noChangeShapeType="1"/>
        </xdr:cNvCxnSpPr>
      </xdr:nvCxnSpPr>
      <xdr:spPr bwMode="auto">
        <a:xfrm flipH="1">
          <a:off x="10701618" y="2947147"/>
          <a:ext cx="356272" cy="1053353"/>
        </a:xfrm>
        <a:prstGeom prst="straightConnector1">
          <a:avLst/>
        </a:prstGeom>
        <a:noFill/>
        <a:ln w="12700">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30</xdr:col>
      <xdr:colOff>11207</xdr:colOff>
      <xdr:row>10</xdr:row>
      <xdr:rowOff>11206</xdr:rowOff>
    </xdr:from>
    <xdr:to>
      <xdr:col>30</xdr:col>
      <xdr:colOff>367479</xdr:colOff>
      <xdr:row>13</xdr:row>
      <xdr:rowOff>257735</xdr:rowOff>
    </xdr:to>
    <xdr:cxnSp macro="">
      <xdr:nvCxnSpPr>
        <xdr:cNvPr id="32" name="AutoShape 8627">
          <a:extLst>
            <a:ext uri="{FF2B5EF4-FFF2-40B4-BE49-F238E27FC236}">
              <a16:creationId xmlns:a16="http://schemas.microsoft.com/office/drawing/2014/main" id="{5B49817D-046D-403A-A62B-710E156835BE}"/>
            </a:ext>
          </a:extLst>
        </xdr:cNvPr>
        <xdr:cNvCxnSpPr>
          <a:cxnSpLocks noChangeShapeType="1"/>
        </xdr:cNvCxnSpPr>
      </xdr:nvCxnSpPr>
      <xdr:spPr bwMode="auto">
        <a:xfrm flipH="1">
          <a:off x="13682383" y="2935941"/>
          <a:ext cx="356272" cy="1053353"/>
        </a:xfrm>
        <a:prstGeom prst="straightConnector1">
          <a:avLst/>
        </a:prstGeom>
        <a:noFill/>
        <a:ln w="12700">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cxnSp>
    <xdr:clientData/>
  </xdr:twoCellAnchor>
  <xdr:twoCellAnchor>
    <xdr:from>
      <xdr:col>22</xdr:col>
      <xdr:colOff>224119</xdr:colOff>
      <xdr:row>10</xdr:row>
      <xdr:rowOff>56030</xdr:rowOff>
    </xdr:from>
    <xdr:to>
      <xdr:col>24</xdr:col>
      <xdr:colOff>33619</xdr:colOff>
      <xdr:row>11</xdr:row>
      <xdr:rowOff>74109</xdr:rowOff>
    </xdr:to>
    <xdr:sp macro="" textlink="">
      <xdr:nvSpPr>
        <xdr:cNvPr id="33" name="Text Box 8629">
          <a:extLst>
            <a:ext uri="{FF2B5EF4-FFF2-40B4-BE49-F238E27FC236}">
              <a16:creationId xmlns:a16="http://schemas.microsoft.com/office/drawing/2014/main" id="{72EE1B0A-E0DD-48B3-8AC3-C81E7CBA9329}"/>
            </a:ext>
          </a:extLst>
        </xdr:cNvPr>
        <xdr:cNvSpPr txBox="1">
          <a:spLocks noChangeArrowheads="1"/>
        </xdr:cNvSpPr>
      </xdr:nvSpPr>
      <xdr:spPr bwMode="auto">
        <a:xfrm>
          <a:off x="8763001" y="2980765"/>
          <a:ext cx="840442"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ct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（発注時）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22</xdr:col>
      <xdr:colOff>224117</xdr:colOff>
      <xdr:row>13</xdr:row>
      <xdr:rowOff>246530</xdr:rowOff>
    </xdr:from>
    <xdr:to>
      <xdr:col>24</xdr:col>
      <xdr:colOff>33617</xdr:colOff>
      <xdr:row>14</xdr:row>
      <xdr:rowOff>264609</xdr:rowOff>
    </xdr:to>
    <xdr:sp macro="" textlink="">
      <xdr:nvSpPr>
        <xdr:cNvPr id="34" name="Text Box 8629">
          <a:extLst>
            <a:ext uri="{FF2B5EF4-FFF2-40B4-BE49-F238E27FC236}">
              <a16:creationId xmlns:a16="http://schemas.microsoft.com/office/drawing/2014/main" id="{B1E977A7-12D2-4D91-AB0E-6E7C307C1BF1}"/>
            </a:ext>
          </a:extLst>
        </xdr:cNvPr>
        <xdr:cNvSpPr txBox="1">
          <a:spLocks noChangeArrowheads="1"/>
        </xdr:cNvSpPr>
      </xdr:nvSpPr>
      <xdr:spPr bwMode="auto">
        <a:xfrm>
          <a:off x="8762999" y="3709148"/>
          <a:ext cx="840442" cy="2870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lgn="ctr">
              <a:solidFill>
                <a:srgbClr val="FF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ctr" anchorCtr="0" upright="1">
          <a:noAutofit/>
        </a:bodyPr>
        <a:lstStyle/>
        <a:p>
          <a:pPr algn="ct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（契約時）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161925</xdr:colOff>
      <xdr:row>43</xdr:row>
      <xdr:rowOff>0</xdr:rowOff>
    </xdr:from>
    <xdr:to>
      <xdr:col>3</xdr:col>
      <xdr:colOff>161925</xdr:colOff>
      <xdr:row>43</xdr:row>
      <xdr:rowOff>0</xdr:rowOff>
    </xdr:to>
    <xdr:sp macro="" textlink="">
      <xdr:nvSpPr>
        <xdr:cNvPr id="4483" name="Line 1">
          <a:extLst>
            <a:ext uri="{FF2B5EF4-FFF2-40B4-BE49-F238E27FC236}">
              <a16:creationId xmlns:a16="http://schemas.microsoft.com/office/drawing/2014/main" id="{00000000-0008-0000-0500-000083110000}"/>
            </a:ext>
          </a:extLst>
        </xdr:cNvPr>
        <xdr:cNvSpPr>
          <a:spLocks noChangeShapeType="1"/>
        </xdr:cNvSpPr>
      </xdr:nvSpPr>
      <xdr:spPr bwMode="auto">
        <a:xfrm flipH="1">
          <a:off x="847725" y="8181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161925</xdr:colOff>
      <xdr:row>53</xdr:row>
      <xdr:rowOff>0</xdr:rowOff>
    </xdr:from>
    <xdr:to>
      <xdr:col>3</xdr:col>
      <xdr:colOff>161925</xdr:colOff>
      <xdr:row>53</xdr:row>
      <xdr:rowOff>0</xdr:rowOff>
    </xdr:to>
    <xdr:sp macro="" textlink="">
      <xdr:nvSpPr>
        <xdr:cNvPr id="4484" name="Line 1">
          <a:extLst>
            <a:ext uri="{FF2B5EF4-FFF2-40B4-BE49-F238E27FC236}">
              <a16:creationId xmlns:a16="http://schemas.microsoft.com/office/drawing/2014/main" id="{00000000-0008-0000-0500-000084110000}"/>
            </a:ext>
          </a:extLst>
        </xdr:cNvPr>
        <xdr:cNvSpPr>
          <a:spLocks noChangeShapeType="1"/>
        </xdr:cNvSpPr>
      </xdr:nvSpPr>
      <xdr:spPr bwMode="auto">
        <a:xfrm flipH="1">
          <a:off x="847725" y="955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169333</xdr:colOff>
      <xdr:row>8</xdr:row>
      <xdr:rowOff>95250</xdr:rowOff>
    </xdr:from>
    <xdr:to>
      <xdr:col>27</xdr:col>
      <xdr:colOff>73584</xdr:colOff>
      <xdr:row>16</xdr:row>
      <xdr:rowOff>78441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11694583" y="1981200"/>
          <a:ext cx="8000501" cy="1526241"/>
          <a:chOff x="11200902" y="1946088"/>
          <a:chExt cx="8053418" cy="1348441"/>
        </a:xfrm>
      </xdr:grpSpPr>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11200902" y="1946088"/>
            <a:ext cx="8053418" cy="1348441"/>
            <a:chOff x="11200902" y="1946088"/>
            <a:chExt cx="8053418" cy="1348441"/>
          </a:xfrm>
        </xdr:grpSpPr>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210426" y="1946088"/>
              <a:ext cx="8043894" cy="134844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200902" y="1946088"/>
              <a:ext cx="1373031"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rgbClr val="FF0000"/>
                  </a:solidFill>
                </a:rPr>
                <a:t>入力例</a:t>
              </a:r>
              <a:endParaRPr kumimoji="1" lang="ja-JP" altLang="en-US" sz="1100">
                <a:solidFill>
                  <a:srgbClr val="FF0000"/>
                </a:solidFill>
              </a:endParaRPr>
            </a:p>
          </xdr:txBody>
        </xdr:sp>
        <xdr:pic>
          <xdr:nvPicPr>
            <xdr:cNvPr id="9" name="図 8">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98942" y="2498912"/>
              <a:ext cx="7026088" cy="521634"/>
            </a:xfrm>
            <a:prstGeom prst="rect">
              <a:avLst/>
            </a:prstGeom>
            <a:noFill/>
            <a:ln>
              <a:solidFill>
                <a:srgbClr val="000000"/>
              </a:solidFill>
            </a:ln>
            <a:extLst>
              <a:ext uri="{909E8E84-426E-40DD-AFC4-6F175D3DCCD1}">
                <a14:hiddenFill xmlns:a14="http://schemas.microsoft.com/office/drawing/2010/main">
                  <a:solidFill>
                    <a:srgbClr val="FFFFFF"/>
                  </a:solidFill>
                </a14:hiddenFill>
              </a:ext>
            </a:extLst>
          </xdr:spPr>
        </xdr:pic>
      </xdr:grp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472146" y="2073089"/>
            <a:ext cx="4426323" cy="313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センサス番号がない場合は下記の入力をしてください。</a:t>
            </a:r>
            <a:r>
              <a:rPr lang="ja-JP" altLang="en-US"/>
              <a:t> </a:t>
            </a:r>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365415</xdr:colOff>
      <xdr:row>13</xdr:row>
      <xdr:rowOff>75670</xdr:rowOff>
    </xdr:from>
    <xdr:to>
      <xdr:col>27</xdr:col>
      <xdr:colOff>298713</xdr:colOff>
      <xdr:row>74</xdr:row>
      <xdr:rowOff>99725</xdr:rowOff>
    </xdr:to>
    <xdr:grpSp>
      <xdr:nvGrpSpPr>
        <xdr:cNvPr id="2" name="グループ化 1">
          <a:extLst>
            <a:ext uri="{FF2B5EF4-FFF2-40B4-BE49-F238E27FC236}">
              <a16:creationId xmlns:a16="http://schemas.microsoft.com/office/drawing/2014/main" id="{06A52F19-2E9F-4CBC-A6C6-464A3510C248}"/>
            </a:ext>
          </a:extLst>
        </xdr:cNvPr>
        <xdr:cNvGrpSpPr/>
      </xdr:nvGrpSpPr>
      <xdr:grpSpPr>
        <a:xfrm>
          <a:off x="7680615" y="2066395"/>
          <a:ext cx="10220298" cy="11577880"/>
          <a:chOff x="9492827" y="415635"/>
          <a:chExt cx="11793681" cy="13369638"/>
        </a:xfrm>
      </xdr:grpSpPr>
      <xdr:sp macro="" textlink="">
        <xdr:nvSpPr>
          <xdr:cNvPr id="3" name="テキスト ボックス 2">
            <a:extLst>
              <a:ext uri="{FF2B5EF4-FFF2-40B4-BE49-F238E27FC236}">
                <a16:creationId xmlns:a16="http://schemas.microsoft.com/office/drawing/2014/main" id="{8A89C122-4B6C-4F00-B04E-8092CA2079CD}"/>
              </a:ext>
            </a:extLst>
          </xdr:cNvPr>
          <xdr:cNvSpPr txBox="1"/>
        </xdr:nvSpPr>
        <xdr:spPr>
          <a:xfrm>
            <a:off x="9492827" y="415635"/>
            <a:ext cx="11793681" cy="1336963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solidFill>
                  <a:srgbClr val="FF0000"/>
                </a:solidFill>
              </a:rPr>
              <a:t>貼付方法</a:t>
            </a:r>
          </a:p>
        </xdr:txBody>
      </xdr:sp>
      <xdr:grpSp>
        <xdr:nvGrpSpPr>
          <xdr:cNvPr id="4" name="グループ化 3">
            <a:extLst>
              <a:ext uri="{FF2B5EF4-FFF2-40B4-BE49-F238E27FC236}">
                <a16:creationId xmlns:a16="http://schemas.microsoft.com/office/drawing/2014/main" id="{374EB641-0DD3-4E2A-A5F9-05A5D9AA4BC3}"/>
              </a:ext>
            </a:extLst>
          </xdr:cNvPr>
          <xdr:cNvGrpSpPr/>
        </xdr:nvGrpSpPr>
        <xdr:grpSpPr>
          <a:xfrm>
            <a:off x="9875439" y="1335408"/>
            <a:ext cx="10962663" cy="11990933"/>
            <a:chOff x="9836473" y="363425"/>
            <a:chExt cx="14561815" cy="14562250"/>
          </a:xfrm>
        </xdr:grpSpPr>
        <xdr:grpSp>
          <xdr:nvGrpSpPr>
            <xdr:cNvPr id="5" name="グループ化 4">
              <a:extLst>
                <a:ext uri="{FF2B5EF4-FFF2-40B4-BE49-F238E27FC236}">
                  <a16:creationId xmlns:a16="http://schemas.microsoft.com/office/drawing/2014/main" id="{74862D1E-87D5-4585-B8D2-662076D132A6}"/>
                </a:ext>
              </a:extLst>
            </xdr:cNvPr>
            <xdr:cNvGrpSpPr/>
          </xdr:nvGrpSpPr>
          <xdr:grpSpPr>
            <a:xfrm>
              <a:off x="13755731" y="363425"/>
              <a:ext cx="8152384" cy="5146534"/>
              <a:chOff x="9659471" y="605116"/>
              <a:chExt cx="8072300" cy="5144622"/>
            </a:xfrm>
          </xdr:grpSpPr>
          <xdr:pic>
            <xdr:nvPicPr>
              <xdr:cNvPr id="19" name="図 18">
                <a:extLst>
                  <a:ext uri="{FF2B5EF4-FFF2-40B4-BE49-F238E27FC236}">
                    <a16:creationId xmlns:a16="http://schemas.microsoft.com/office/drawing/2014/main" id="{3492AFE9-6EB1-4E75-A3C8-DEC91B900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471" y="952500"/>
                <a:ext cx="5051612" cy="47972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0" name="吹き出し: 四角形 19">
                <a:extLst>
                  <a:ext uri="{FF2B5EF4-FFF2-40B4-BE49-F238E27FC236}">
                    <a16:creationId xmlns:a16="http://schemas.microsoft.com/office/drawing/2014/main" id="{2F2D9FD6-AA54-4104-BBE2-96DB9B8149AD}"/>
                  </a:ext>
                </a:extLst>
              </xdr:cNvPr>
              <xdr:cNvSpPr/>
            </xdr:nvSpPr>
            <xdr:spPr bwMode="auto">
              <a:xfrm>
                <a:off x="14242676" y="605116"/>
                <a:ext cx="3489095" cy="739589"/>
              </a:xfrm>
              <a:prstGeom prst="wedgeRectCallout">
                <a:avLst>
                  <a:gd name="adj1" fmla="val -46213"/>
                  <a:gd name="adj2" fmla="val 87889"/>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solidFill>
                      <a:srgbClr val="FF0000"/>
                    </a:solidFill>
                  </a:rPr>
                  <a:t>元請調査票の「まとめ」シートの赤枠を全て選択し、コピーする。</a:t>
                </a:r>
              </a:p>
            </xdr:txBody>
          </xdr:sp>
        </xdr:grpSp>
        <xdr:grpSp>
          <xdr:nvGrpSpPr>
            <xdr:cNvPr id="6" name="グループ化 5">
              <a:extLst>
                <a:ext uri="{FF2B5EF4-FFF2-40B4-BE49-F238E27FC236}">
                  <a16:creationId xmlns:a16="http://schemas.microsoft.com/office/drawing/2014/main" id="{9633CA41-0E91-4933-A7C3-9D504A140D52}"/>
                </a:ext>
              </a:extLst>
            </xdr:cNvPr>
            <xdr:cNvGrpSpPr/>
          </xdr:nvGrpSpPr>
          <xdr:grpSpPr>
            <a:xfrm>
              <a:off x="9836473" y="6830494"/>
              <a:ext cx="7600367" cy="6732979"/>
              <a:chOff x="9858121" y="6449495"/>
              <a:chExt cx="7625843" cy="6942961"/>
            </a:xfrm>
          </xdr:grpSpPr>
          <xdr:pic>
            <xdr:nvPicPr>
              <xdr:cNvPr id="15" name="図 14">
                <a:extLst>
                  <a:ext uri="{FF2B5EF4-FFF2-40B4-BE49-F238E27FC236}">
                    <a16:creationId xmlns:a16="http://schemas.microsoft.com/office/drawing/2014/main" id="{285F1F48-36C8-4D47-AFD2-EBA44998DB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58121" y="6449495"/>
                <a:ext cx="6141536" cy="6942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6" name="吹き出し: 四角形 15">
                <a:extLst>
                  <a:ext uri="{FF2B5EF4-FFF2-40B4-BE49-F238E27FC236}">
                    <a16:creationId xmlns:a16="http://schemas.microsoft.com/office/drawing/2014/main" id="{C138422D-231A-4C19-9DAF-044E45A46F08}"/>
                  </a:ext>
                </a:extLst>
              </xdr:cNvPr>
              <xdr:cNvSpPr/>
            </xdr:nvSpPr>
            <xdr:spPr bwMode="auto">
              <a:xfrm>
                <a:off x="13419941" y="6999406"/>
                <a:ext cx="4064023" cy="1368138"/>
              </a:xfrm>
              <a:prstGeom prst="wedgeRectCallout">
                <a:avLst>
                  <a:gd name="adj1" fmla="val -45364"/>
                  <a:gd name="adj2" fmla="val 15044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solidFill>
                      <a:srgbClr val="FF0000"/>
                    </a:solidFill>
                  </a:rPr>
                  <a:t>発注調査票の「元請調査票」シートのセル</a:t>
                </a:r>
                <a:r>
                  <a:rPr kumimoji="1" lang="en-US" altLang="ja-JP" sz="1100" b="1">
                    <a:solidFill>
                      <a:srgbClr val="FF0000"/>
                    </a:solidFill>
                    <a:latin typeface="+mj-ea"/>
                    <a:ea typeface="+mj-ea"/>
                  </a:rPr>
                  <a:t>B8</a:t>
                </a:r>
                <a:r>
                  <a:rPr kumimoji="1" lang="ja-JP" altLang="en-US" sz="1050" b="1">
                    <a:solidFill>
                      <a:srgbClr val="FF0000"/>
                    </a:solidFill>
                  </a:rPr>
                  <a:t>で、右クリックし、「形式を選択して貼り付け」の「値」で貼り付けする。</a:t>
                </a:r>
              </a:p>
            </xdr:txBody>
          </xdr:sp>
          <xdr:sp macro="" textlink="">
            <xdr:nvSpPr>
              <xdr:cNvPr id="17" name="正方形/長方形 16">
                <a:extLst>
                  <a:ext uri="{FF2B5EF4-FFF2-40B4-BE49-F238E27FC236}">
                    <a16:creationId xmlns:a16="http://schemas.microsoft.com/office/drawing/2014/main" id="{6C83397A-58F1-48E2-B789-42161FE8943A}"/>
                  </a:ext>
                </a:extLst>
              </xdr:cNvPr>
              <xdr:cNvSpPr/>
            </xdr:nvSpPr>
            <xdr:spPr bwMode="auto">
              <a:xfrm>
                <a:off x="10862575" y="8935162"/>
                <a:ext cx="1811278" cy="285241"/>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78D26556-D6B8-4B92-B47B-95FB72993737}"/>
                  </a:ext>
                </a:extLst>
              </xdr:cNvPr>
              <xdr:cNvSpPr/>
            </xdr:nvSpPr>
            <xdr:spPr bwMode="auto">
              <a:xfrm>
                <a:off x="12940757" y="9975274"/>
                <a:ext cx="498151" cy="78237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7" name="矢印: 下 6">
              <a:extLst>
                <a:ext uri="{FF2B5EF4-FFF2-40B4-BE49-F238E27FC236}">
                  <a16:creationId xmlns:a16="http://schemas.microsoft.com/office/drawing/2014/main" id="{EFD00FF1-F75F-42C7-B8F9-0D05DEC3484D}"/>
                </a:ext>
                <a:ext uri="{C183D7F6-B498-43B3-948B-1728B52AA6E4}">
                  <adec:decorative xmlns:adec="http://schemas.microsoft.com/office/drawing/2017/decorative" val="0"/>
                </a:ext>
              </a:extLst>
            </xdr:cNvPr>
            <xdr:cNvSpPr/>
          </xdr:nvSpPr>
          <xdr:spPr bwMode="auto">
            <a:xfrm>
              <a:off x="13681364" y="5771284"/>
              <a:ext cx="1415761" cy="850756"/>
            </a:xfrm>
            <a:prstGeom prst="downArrow">
              <a:avLst/>
            </a:prstGeom>
            <a:ln>
              <a:solidFill>
                <a:schemeClr val="accent6"/>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200">
                  <a:solidFill>
                    <a:schemeClr val="accent6"/>
                  </a:solidFill>
                </a:rPr>
                <a:t>方法①</a:t>
              </a:r>
            </a:p>
          </xdr:txBody>
        </xdr:sp>
        <xdr:sp macro="" textlink="">
          <xdr:nvSpPr>
            <xdr:cNvPr id="8" name="矢印: 下 7">
              <a:extLst>
                <a:ext uri="{FF2B5EF4-FFF2-40B4-BE49-F238E27FC236}">
                  <a16:creationId xmlns:a16="http://schemas.microsoft.com/office/drawing/2014/main" id="{D61BED38-059F-4C31-901D-FDE1634C02BF}"/>
                </a:ext>
                <a:ext uri="{C183D7F6-B498-43B3-948B-1728B52AA6E4}">
                  <adec:decorative xmlns:adec="http://schemas.microsoft.com/office/drawing/2017/decorative" val="0"/>
                </a:ext>
              </a:extLst>
            </xdr:cNvPr>
            <xdr:cNvSpPr/>
          </xdr:nvSpPr>
          <xdr:spPr bwMode="auto">
            <a:xfrm>
              <a:off x="17601768" y="5771283"/>
              <a:ext cx="1415761" cy="850756"/>
            </a:xfrm>
            <a:prstGeom prst="downArrow">
              <a:avLst/>
            </a:prstGeom>
            <a:ln w="28575">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r>
                <a:rPr kumimoji="1" lang="ja-JP" altLang="en-US" sz="1200">
                  <a:solidFill>
                    <a:schemeClr val="accent5"/>
                  </a:solidFill>
                </a:rPr>
                <a:t>方法②</a:t>
              </a:r>
            </a:p>
          </xdr:txBody>
        </xdr:sp>
        <xdr:grpSp>
          <xdr:nvGrpSpPr>
            <xdr:cNvPr id="9" name="グループ化 8">
              <a:extLst>
                <a:ext uri="{FF2B5EF4-FFF2-40B4-BE49-F238E27FC236}">
                  <a16:creationId xmlns:a16="http://schemas.microsoft.com/office/drawing/2014/main" id="{9AA667DA-509A-4E81-84DE-3522C070BA94}"/>
                </a:ext>
              </a:extLst>
            </xdr:cNvPr>
            <xdr:cNvGrpSpPr/>
          </xdr:nvGrpSpPr>
          <xdr:grpSpPr>
            <a:xfrm>
              <a:off x="17668875" y="6834188"/>
              <a:ext cx="6729413" cy="8091487"/>
              <a:chOff x="17668875" y="6834188"/>
              <a:chExt cx="6729413" cy="8091487"/>
            </a:xfrm>
          </xdr:grpSpPr>
          <xdr:pic>
            <xdr:nvPicPr>
              <xdr:cNvPr id="10" name="図 9">
                <a:extLst>
                  <a:ext uri="{FF2B5EF4-FFF2-40B4-BE49-F238E27FC236}">
                    <a16:creationId xmlns:a16="http://schemas.microsoft.com/office/drawing/2014/main" id="{075307E0-A852-4D9F-88E5-A1EAFC1E3C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68875" y="6834188"/>
                <a:ext cx="6729413" cy="8091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1" name="吹き出し: 四角形 10">
                <a:extLst>
                  <a:ext uri="{FF2B5EF4-FFF2-40B4-BE49-F238E27FC236}">
                    <a16:creationId xmlns:a16="http://schemas.microsoft.com/office/drawing/2014/main" id="{6D7926CA-F0B7-4276-9117-829B45DE2B5B}"/>
                  </a:ext>
                </a:extLst>
              </xdr:cNvPr>
              <xdr:cNvSpPr/>
            </xdr:nvSpPr>
            <xdr:spPr bwMode="auto">
              <a:xfrm>
                <a:off x="20645869" y="8465994"/>
                <a:ext cx="3585639" cy="1316183"/>
              </a:xfrm>
              <a:prstGeom prst="wedgeRectCallout">
                <a:avLst>
                  <a:gd name="adj1" fmla="val -98075"/>
                  <a:gd name="adj2" fmla="val -3481"/>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solidFill>
                      <a:srgbClr val="FF0000"/>
                    </a:solidFill>
                  </a:rPr>
                  <a:t>発注調査票の「元請調査票」シートのセル</a:t>
                </a:r>
                <a:r>
                  <a:rPr kumimoji="1" lang="en-US" altLang="ja-JP" sz="1100" b="1">
                    <a:solidFill>
                      <a:srgbClr val="FF0000"/>
                    </a:solidFill>
                    <a:latin typeface="+mj-ea"/>
                    <a:ea typeface="+mj-ea"/>
                  </a:rPr>
                  <a:t>B8</a:t>
                </a:r>
                <a:r>
                  <a:rPr kumimoji="1" lang="ja-JP" altLang="en-US" sz="1050" b="1">
                    <a:solidFill>
                      <a:srgbClr val="FF0000"/>
                    </a:solidFill>
                  </a:rPr>
                  <a:t>を選択し、「ホーム」の「貼り付け」にある「Ｖ」から「値」で貼り付けする。</a:t>
                </a:r>
              </a:p>
            </xdr:txBody>
          </xdr:sp>
          <xdr:sp macro="" textlink="">
            <xdr:nvSpPr>
              <xdr:cNvPr id="12" name="正方形/長方形 11">
                <a:extLst>
                  <a:ext uri="{FF2B5EF4-FFF2-40B4-BE49-F238E27FC236}">
                    <a16:creationId xmlns:a16="http://schemas.microsoft.com/office/drawing/2014/main" id="{B5F9DF22-31F3-40ED-BCDE-188B70D1D891}"/>
                  </a:ext>
                </a:extLst>
              </xdr:cNvPr>
              <xdr:cNvSpPr/>
            </xdr:nvSpPr>
            <xdr:spPr bwMode="auto">
              <a:xfrm>
                <a:off x="19017529" y="6896534"/>
                <a:ext cx="638403" cy="32298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8D4EEBB1-C6E8-41BB-B19B-32C3E840528E}"/>
                  </a:ext>
                </a:extLst>
              </xdr:cNvPr>
              <xdr:cNvSpPr/>
            </xdr:nvSpPr>
            <xdr:spPr bwMode="auto">
              <a:xfrm>
                <a:off x="18401003" y="7694839"/>
                <a:ext cx="477982" cy="156792"/>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E5430DB1-C6F6-4206-BCA7-297468342311}"/>
                  </a:ext>
                </a:extLst>
              </xdr:cNvPr>
              <xdr:cNvSpPr/>
            </xdr:nvSpPr>
            <xdr:spPr bwMode="auto">
              <a:xfrm>
                <a:off x="18326965" y="8955665"/>
                <a:ext cx="621291" cy="71221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180975</xdr:colOff>
      <xdr:row>17</xdr:row>
      <xdr:rowOff>28575</xdr:rowOff>
    </xdr:from>
    <xdr:to>
      <xdr:col>16</xdr:col>
      <xdr:colOff>2143125</xdr:colOff>
      <xdr:row>35</xdr:row>
      <xdr:rowOff>323850</xdr:rowOff>
    </xdr:to>
    <xdr:graphicFrame macro="">
      <xdr:nvGraphicFramePr>
        <xdr:cNvPr id="15301" name="Chart 73">
          <a:extLst>
            <a:ext uri="{FF2B5EF4-FFF2-40B4-BE49-F238E27FC236}">
              <a16:creationId xmlns:a16="http://schemas.microsoft.com/office/drawing/2014/main" id="{00000000-0008-0000-0900-0000C53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48</xdr:row>
      <xdr:rowOff>28575</xdr:rowOff>
    </xdr:from>
    <xdr:to>
      <xdr:col>9</xdr:col>
      <xdr:colOff>0</xdr:colOff>
      <xdr:row>49</xdr:row>
      <xdr:rowOff>142875</xdr:rowOff>
    </xdr:to>
    <xdr:sp macro="" textlink="">
      <xdr:nvSpPr>
        <xdr:cNvPr id="453727" name="Line 2">
          <a:extLst>
            <a:ext uri="{FF2B5EF4-FFF2-40B4-BE49-F238E27FC236}">
              <a16:creationId xmlns:a16="http://schemas.microsoft.com/office/drawing/2014/main" id="{00000000-0008-0000-0A00-00005FEC0600}"/>
            </a:ext>
          </a:extLst>
        </xdr:cNvPr>
        <xdr:cNvSpPr>
          <a:spLocks noChangeShapeType="1"/>
        </xdr:cNvSpPr>
      </xdr:nvSpPr>
      <xdr:spPr bwMode="auto">
        <a:xfrm>
          <a:off x="10048875" y="18792825"/>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53728" name="Line 3">
          <a:extLst>
            <a:ext uri="{FF2B5EF4-FFF2-40B4-BE49-F238E27FC236}">
              <a16:creationId xmlns:a16="http://schemas.microsoft.com/office/drawing/2014/main" id="{00000000-0008-0000-0A00-000060EC0600}"/>
            </a:ext>
          </a:extLst>
        </xdr:cNvPr>
        <xdr:cNvSpPr>
          <a:spLocks noChangeShapeType="1"/>
        </xdr:cNvSpPr>
      </xdr:nvSpPr>
      <xdr:spPr bwMode="auto">
        <a:xfrm>
          <a:off x="100488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453729" name="Line 4">
          <a:extLst>
            <a:ext uri="{FF2B5EF4-FFF2-40B4-BE49-F238E27FC236}">
              <a16:creationId xmlns:a16="http://schemas.microsoft.com/office/drawing/2014/main" id="{00000000-0008-0000-0A00-000061EC0600}"/>
            </a:ext>
          </a:extLst>
        </xdr:cNvPr>
        <xdr:cNvSpPr>
          <a:spLocks noChangeShapeType="1"/>
        </xdr:cNvSpPr>
      </xdr:nvSpPr>
      <xdr:spPr bwMode="auto">
        <a:xfrm>
          <a:off x="10048875" y="6267450"/>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17</xdr:row>
      <xdr:rowOff>0</xdr:rowOff>
    </xdr:from>
    <xdr:to>
      <xdr:col>9</xdr:col>
      <xdr:colOff>0</xdr:colOff>
      <xdr:row>18</xdr:row>
      <xdr:rowOff>0</xdr:rowOff>
    </xdr:to>
    <xdr:sp macro="" textlink="">
      <xdr:nvSpPr>
        <xdr:cNvPr id="453730" name="Line 5">
          <a:extLst>
            <a:ext uri="{FF2B5EF4-FFF2-40B4-BE49-F238E27FC236}">
              <a16:creationId xmlns:a16="http://schemas.microsoft.com/office/drawing/2014/main" id="{00000000-0008-0000-0A00-000062EC0600}"/>
            </a:ext>
          </a:extLst>
        </xdr:cNvPr>
        <xdr:cNvSpPr>
          <a:spLocks noChangeShapeType="1"/>
        </xdr:cNvSpPr>
      </xdr:nvSpPr>
      <xdr:spPr bwMode="auto">
        <a:xfrm>
          <a:off x="10048875" y="665797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graphicFrame macro="">
      <xdr:nvGraphicFramePr>
        <xdr:cNvPr id="453731" name="Chart 6">
          <a:extLst>
            <a:ext uri="{FF2B5EF4-FFF2-40B4-BE49-F238E27FC236}">
              <a16:creationId xmlns:a16="http://schemas.microsoft.com/office/drawing/2014/main" id="{00000000-0008-0000-0A00-000063EC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40902</xdr:colOff>
      <xdr:row>306</xdr:row>
      <xdr:rowOff>43702</xdr:rowOff>
    </xdr:from>
    <xdr:to>
      <xdr:col>5</xdr:col>
      <xdr:colOff>40902</xdr:colOff>
      <xdr:row>353</xdr:row>
      <xdr:rowOff>840</xdr:rowOff>
    </xdr:to>
    <xdr:sp macro="" textlink="">
      <xdr:nvSpPr>
        <xdr:cNvPr id="504833" name="Line 1">
          <a:extLst>
            <a:ext uri="{FF2B5EF4-FFF2-40B4-BE49-F238E27FC236}">
              <a16:creationId xmlns:a16="http://schemas.microsoft.com/office/drawing/2014/main" id="{00000000-0008-0000-0C00-000001B40700}"/>
            </a:ext>
          </a:extLst>
        </xdr:cNvPr>
        <xdr:cNvSpPr>
          <a:spLocks noChangeShapeType="1"/>
        </xdr:cNvSpPr>
      </xdr:nvSpPr>
      <xdr:spPr bwMode="auto">
        <a:xfrm>
          <a:off x="6887696" y="41920084"/>
          <a:ext cx="0" cy="7857285"/>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40902</xdr:colOff>
      <xdr:row>242</xdr:row>
      <xdr:rowOff>135590</xdr:rowOff>
    </xdr:from>
    <xdr:to>
      <xdr:col>5</xdr:col>
      <xdr:colOff>40902</xdr:colOff>
      <xdr:row>297</xdr:row>
      <xdr:rowOff>43703</xdr:rowOff>
    </xdr:to>
    <xdr:sp macro="" textlink="">
      <xdr:nvSpPr>
        <xdr:cNvPr id="504835" name="Line 3">
          <a:extLst>
            <a:ext uri="{FF2B5EF4-FFF2-40B4-BE49-F238E27FC236}">
              <a16:creationId xmlns:a16="http://schemas.microsoft.com/office/drawing/2014/main" id="{00000000-0008-0000-0C00-000003B40700}"/>
            </a:ext>
          </a:extLst>
        </xdr:cNvPr>
        <xdr:cNvSpPr>
          <a:spLocks noChangeShapeType="1"/>
        </xdr:cNvSpPr>
      </xdr:nvSpPr>
      <xdr:spPr bwMode="auto">
        <a:xfrm flipV="1">
          <a:off x="6887696" y="32262855"/>
          <a:ext cx="0" cy="8144436"/>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486336</xdr:colOff>
      <xdr:row>299</xdr:row>
      <xdr:rowOff>107014</xdr:rowOff>
    </xdr:from>
    <xdr:to>
      <xdr:col>8</xdr:col>
      <xdr:colOff>183777</xdr:colOff>
      <xdr:row>304</xdr:row>
      <xdr:rowOff>164166</xdr:rowOff>
    </xdr:to>
    <xdr:sp macro="" textlink="">
      <xdr:nvSpPr>
        <xdr:cNvPr id="504836" name="Text Box 4">
          <a:extLst>
            <a:ext uri="{FF2B5EF4-FFF2-40B4-BE49-F238E27FC236}">
              <a16:creationId xmlns:a16="http://schemas.microsoft.com/office/drawing/2014/main" id="{00000000-0008-0000-0C00-000004B40700}"/>
            </a:ext>
          </a:extLst>
        </xdr:cNvPr>
        <xdr:cNvSpPr txBox="1">
          <a:spLocks noChangeArrowheads="1"/>
        </xdr:cNvSpPr>
      </xdr:nvSpPr>
      <xdr:spPr bwMode="auto">
        <a:xfrm>
          <a:off x="5966012" y="40806779"/>
          <a:ext cx="3115236" cy="89759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lnSpc>
              <a:spcPts val="2000"/>
            </a:lnSpc>
            <a:defRPr sz="1000"/>
          </a:pPr>
          <a:r>
            <a:rPr lang="ja-JP" altLang="en-US" sz="1800" b="1" i="0" u="none" strike="noStrike" baseline="0">
              <a:solidFill>
                <a:srgbClr val="FF0000"/>
              </a:solidFill>
              <a:latin typeface="ＭＳ Ｐゴシック"/>
              <a:ea typeface="ＭＳ Ｐゴシック"/>
            </a:rPr>
            <a:t>政令市、中核市、特例市は毎年情報を確認・更新する。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76;&#32076;&#36027;&#21205;&#21521;&#35519;&#26619;/R2&#35576;&#32076;&#36027;&#35519;&#26619;&#31080;/210108_&#35519;&#26619;&#31080;&#20462;&#27491;/&#24314;&#35373;/07_&#9322;&#20803;&#35531;2101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1k-tokyo02\s150\20150303_&#30906;&#35469;&#12471;&#12540;&#12488;&#35519;&#25972;\&#30330;&#27880;&#65288;&#19979;&#27700;&#652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1_&#24314;&#35373;&#12539;05_&#19979;&#27700;&#12305;\01_H28&#38291;&#25509;&#24037;&#20107;&#36027;&#31561;&#35576;&#32076;&#36027;&#21205;&#21521;&#35519;&#26619;&#65288;&#24314;&#35373;&#65289;\02_&#20837;&#21147;&#12471;&#12473;&#12486;&#12512;\&#9320;&#30330;&#27880;(KKS&#22793;&#26356;&#2446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2_&#28207;&#28286;&#12305;\01_H28&#38291;&#25509;&#24037;&#20107;&#36027;&#31561;&#35576;&#32076;&#36027;&#21205;&#21521;&#35519;&#26619;\02_&#20837;&#21147;&#12471;&#12473;&#12486;&#12512;\&#9321;&#20803;&#35531;(&#28207;&#2828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2_&#28207;&#28286;&#12305;\01_H28&#38291;&#25509;&#24037;&#20107;&#36027;&#31561;&#35576;&#32076;&#36027;&#21205;&#21521;&#35519;&#26619;\02_&#20837;&#21147;&#12471;&#12473;&#12486;&#12512;\&#9319;&#30330;&#27880;(&#28207;&#2828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ice-fs01\&#25216;&#34899;&#12539;&#35519;&#36948;&#25919;&#31574;&#12464;&#12523;&#12540;&#12503;\K2\&#21463;&#35351;&#20107;&#26989;&#38306;&#36899;\5301_&#35576;&#32076;&#36027;&#21450;&#12403;&#24037;&#20107;&#12467;&#12473;&#12488;&#65288;&#20849;&#26377;&#65289;\2015&#24180;&#24230;\&#9679;H27&#35519;&#26619;&#31080;&#12539;&#12510;&#12491;&#12517;&#12450;&#12523;&#12539;&#12481;&#12455;&#12483;&#12463;&#12522;&#12473;&#12488;\01_&#24314;&#35373;\&#24314;&#35373;&#65288;151103&#29256;&#65289;&#12304;&#23436;&#25104;&#29256;&#12305;\01_&#35519;&#26619;&#31080;\&#9320;&#30330;&#278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1_一般事項"/>
      <sheetName val="2_工期"/>
      <sheetName val="3_施工分散"/>
      <sheetName val="4_社員等従業員給料等"/>
      <sheetName val="5_現場支援"/>
      <sheetName val="6_法定福利費"/>
      <sheetName val="7_労務管理費"/>
      <sheetName val="8-1_機器材運搬費"/>
      <sheetName val="8-2_建設機械Ⅰ"/>
      <sheetName val="8-3_建設機械Ⅱ"/>
      <sheetName val="【参照用】建設機械リスト_"/>
      <sheetName val="9_工事費"/>
      <sheetName val="10_下請入力"/>
      <sheetName val="11_組織図（削除予定）"/>
      <sheetName val="12_社員等従業員給料等_下請"/>
      <sheetName val="13_法定福利費_下請"/>
      <sheetName val="14_労務管理費_下請"/>
      <sheetName val="15-1_機器材運搬費_下請"/>
      <sheetName val="15-2_建設機械Ⅰ_下請"/>
      <sheetName val="15-3_建設機械Ⅱ_下請"/>
      <sheetName val="【参照用】建設機械リスト"/>
      <sheetName val="16-1_品質管理"/>
      <sheetName val="16-2_特殊な品質管理"/>
      <sheetName val="16-3_現場条件等"/>
      <sheetName val="16-4_各種調査"/>
      <sheetName val="16-5_各種台帳"/>
      <sheetName val="16-6_ICT建設機械"/>
      <sheetName val="16-7_その他"/>
      <sheetName val="17-1_準備・測量"/>
      <sheetName val="17-2_その他"/>
      <sheetName val="18-1_現場環境改善_仮設備"/>
      <sheetName val="18-2_現場環境改善_営繕"/>
      <sheetName val="18-3_現場環境改善_安全"/>
      <sheetName val="18-4_現場環境改善_地域"/>
      <sheetName val="18-5_現場環境改善_その他"/>
      <sheetName val="19_工事保険"/>
      <sheetName val="20_組立保険"/>
      <sheetName val="21_ICT"/>
      <sheetName val="22_ICT_詳細調査"/>
      <sheetName val="23_週休２日_詳細調査"/>
      <sheetName val="24_快適トイレ"/>
      <sheetName val="25_感染対策"/>
      <sheetName val="26_確認"/>
      <sheetName val="まとめ"/>
      <sheetName val="修正履歴"/>
      <sheetName val="form"/>
      <sheetName val="建設機械リスト"/>
      <sheetName val="table"/>
      <sheetName val="基礎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ow r="3">
          <cell r="B3" t="str">
            <v>101：東北地方整備局</v>
          </cell>
        </row>
        <row r="4">
          <cell r="B4" t="str">
            <v>102：関東地方整備局</v>
          </cell>
        </row>
        <row r="5">
          <cell r="B5" t="str">
            <v>103：北陸地方整備局</v>
          </cell>
        </row>
        <row r="6">
          <cell r="B6" t="str">
            <v>104：中部地方整備局</v>
          </cell>
        </row>
        <row r="7">
          <cell r="B7" t="str">
            <v>105：近畿地方整備局</v>
          </cell>
        </row>
        <row r="8">
          <cell r="B8" t="str">
            <v>106：中国地方整備局</v>
          </cell>
        </row>
        <row r="9">
          <cell r="B9" t="str">
            <v>107：四国地方整備局</v>
          </cell>
        </row>
        <row r="10">
          <cell r="B10" t="str">
            <v>108：九州地方整備局</v>
          </cell>
        </row>
        <row r="11">
          <cell r="B11" t="str">
            <v>109：北海道開発局</v>
          </cell>
        </row>
        <row r="12">
          <cell r="B12" t="str">
            <v>110：沖縄総合事務局</v>
          </cell>
        </row>
        <row r="13">
          <cell r="B13" t="str">
            <v>999：その他</v>
          </cell>
        </row>
        <row r="16">
          <cell r="B16" t="str">
            <v>001：北海道</v>
          </cell>
        </row>
        <row r="17">
          <cell r="B17" t="str">
            <v>002：青森県</v>
          </cell>
        </row>
        <row r="18">
          <cell r="B18" t="str">
            <v>003：岩手県</v>
          </cell>
        </row>
        <row r="19">
          <cell r="B19" t="str">
            <v>004：宮城県</v>
          </cell>
        </row>
        <row r="20">
          <cell r="B20" t="str">
            <v>005：秋田県</v>
          </cell>
        </row>
        <row r="21">
          <cell r="B21" t="str">
            <v>006：山形県</v>
          </cell>
        </row>
        <row r="22">
          <cell r="B22" t="str">
            <v>007：福島県</v>
          </cell>
        </row>
        <row r="23">
          <cell r="B23" t="str">
            <v>008：茨城県</v>
          </cell>
        </row>
        <row r="24">
          <cell r="B24" t="str">
            <v>009：栃木県</v>
          </cell>
        </row>
        <row r="25">
          <cell r="B25" t="str">
            <v>010：群馬県</v>
          </cell>
        </row>
        <row r="26">
          <cell r="B26" t="str">
            <v>011：埼玉県</v>
          </cell>
        </row>
        <row r="27">
          <cell r="B27" t="str">
            <v>012：千葉県</v>
          </cell>
        </row>
        <row r="28">
          <cell r="B28" t="str">
            <v>013：東京都</v>
          </cell>
        </row>
        <row r="29">
          <cell r="B29" t="str">
            <v>014：神奈川県</v>
          </cell>
        </row>
        <row r="30">
          <cell r="B30" t="str">
            <v>015：新潟県</v>
          </cell>
        </row>
        <row r="31">
          <cell r="B31" t="str">
            <v>016：富山県</v>
          </cell>
        </row>
        <row r="32">
          <cell r="B32" t="str">
            <v>017：石川県</v>
          </cell>
        </row>
        <row r="33">
          <cell r="B33" t="str">
            <v>018：福井県</v>
          </cell>
        </row>
        <row r="34">
          <cell r="B34" t="str">
            <v>019：山梨県</v>
          </cell>
        </row>
        <row r="35">
          <cell r="B35" t="str">
            <v>020：長野県</v>
          </cell>
        </row>
        <row r="36">
          <cell r="B36" t="str">
            <v>021：岐阜県</v>
          </cell>
        </row>
        <row r="37">
          <cell r="B37" t="str">
            <v>022：静岡県</v>
          </cell>
        </row>
        <row r="38">
          <cell r="B38" t="str">
            <v>023：愛知県</v>
          </cell>
        </row>
        <row r="39">
          <cell r="B39" t="str">
            <v>024：三重県</v>
          </cell>
        </row>
        <row r="40">
          <cell r="B40" t="str">
            <v>025：滋賀県</v>
          </cell>
        </row>
        <row r="41">
          <cell r="B41" t="str">
            <v>026：京都府</v>
          </cell>
        </row>
        <row r="42">
          <cell r="B42" t="str">
            <v>027：大阪府</v>
          </cell>
        </row>
        <row r="43">
          <cell r="B43" t="str">
            <v>028：兵庫県</v>
          </cell>
        </row>
        <row r="44">
          <cell r="B44" t="str">
            <v>029：奈良県</v>
          </cell>
        </row>
        <row r="45">
          <cell r="B45" t="str">
            <v>030：和歌山県</v>
          </cell>
        </row>
        <row r="46">
          <cell r="B46" t="str">
            <v>031：鳥取県</v>
          </cell>
        </row>
        <row r="47">
          <cell r="B47" t="str">
            <v>032：島根県</v>
          </cell>
        </row>
        <row r="48">
          <cell r="B48" t="str">
            <v>033：岡山県</v>
          </cell>
        </row>
        <row r="49">
          <cell r="B49" t="str">
            <v>034：広島県</v>
          </cell>
        </row>
        <row r="50">
          <cell r="B50" t="str">
            <v>035：山口県</v>
          </cell>
        </row>
        <row r="51">
          <cell r="B51" t="str">
            <v>036：徳島県</v>
          </cell>
        </row>
        <row r="52">
          <cell r="B52" t="str">
            <v>037：香川県</v>
          </cell>
        </row>
        <row r="53">
          <cell r="B53" t="str">
            <v>038：愛媛県</v>
          </cell>
        </row>
        <row r="54">
          <cell r="B54" t="str">
            <v>039：高知県</v>
          </cell>
        </row>
        <row r="55">
          <cell r="B55" t="str">
            <v>040：福岡県</v>
          </cell>
        </row>
        <row r="56">
          <cell r="B56" t="str">
            <v>041：佐賀県</v>
          </cell>
        </row>
        <row r="57">
          <cell r="B57" t="str">
            <v>042：長崎県</v>
          </cell>
        </row>
        <row r="58">
          <cell r="B58" t="str">
            <v>043：熊本県</v>
          </cell>
        </row>
        <row r="59">
          <cell r="B59" t="str">
            <v>044：大分県</v>
          </cell>
        </row>
        <row r="60">
          <cell r="B60" t="str">
            <v>045：宮崎県</v>
          </cell>
        </row>
        <row r="61">
          <cell r="B61" t="str">
            <v>046：鹿児島県</v>
          </cell>
        </row>
        <row r="62">
          <cell r="B62" t="str">
            <v>047：沖縄県</v>
          </cell>
        </row>
        <row r="86">
          <cell r="B86" t="str">
            <v>本社一律方式で、請負金額に割り掛ける</v>
          </cell>
        </row>
        <row r="87">
          <cell r="B87" t="str">
            <v>支店別一律方式で、請負金額に割り掛ける</v>
          </cell>
        </row>
        <row r="88">
          <cell r="B88" t="str">
            <v>本社一律方式で、当初積算された工事原価に割り掛ける</v>
          </cell>
        </row>
        <row r="89">
          <cell r="B89" t="str">
            <v>支店別一律方式で、当初積算された工事原価に割り掛ける</v>
          </cell>
        </row>
        <row r="90">
          <cell r="B90" t="str">
            <v>その他の方法（具体的な説明を加える）</v>
          </cell>
        </row>
        <row r="93">
          <cell r="B93" t="str">
            <v>前払金の有無を考慮せずに本支店経費を算出している場合</v>
          </cell>
        </row>
        <row r="94">
          <cell r="B94" t="str">
            <v>前払金の有無を考慮して本支店経費を算出している場合</v>
          </cell>
        </row>
        <row r="103">
          <cell r="B103" t="str">
            <v>有り</v>
          </cell>
        </row>
        <row r="104">
          <cell r="B104" t="str">
            <v>無し</v>
          </cell>
        </row>
        <row r="110">
          <cell r="B110" t="str">
            <v>降雨</v>
          </cell>
        </row>
        <row r="111">
          <cell r="B111" t="str">
            <v>降雪</v>
          </cell>
        </row>
        <row r="112">
          <cell r="B112" t="str">
            <v>風</v>
          </cell>
        </row>
        <row r="113">
          <cell r="B113" t="str">
            <v>波浪</v>
          </cell>
        </row>
        <row r="114">
          <cell r="B114" t="str">
            <v>その他</v>
          </cell>
        </row>
        <row r="117">
          <cell r="B117" t="str">
            <v>毎週</v>
          </cell>
        </row>
        <row r="118">
          <cell r="B118" t="str">
            <v>月３回</v>
          </cell>
        </row>
        <row r="119">
          <cell r="B119" t="str">
            <v>月２回</v>
          </cell>
        </row>
        <row r="120">
          <cell r="B120" t="str">
            <v>月１回</v>
          </cell>
        </row>
        <row r="121">
          <cell r="B121" t="str">
            <v>なし</v>
          </cell>
        </row>
        <row r="125">
          <cell r="B125" t="str">
            <v>週２日</v>
          </cell>
        </row>
        <row r="126">
          <cell r="B126" t="str">
            <v>週１日</v>
          </cell>
        </row>
        <row r="127">
          <cell r="B127" t="str">
            <v>なし</v>
          </cell>
        </row>
        <row r="130">
          <cell r="B130" t="str">
            <v>適当であった</v>
          </cell>
        </row>
        <row r="131">
          <cell r="B131" t="str">
            <v>十分余裕があった</v>
          </cell>
        </row>
        <row r="132">
          <cell r="B132" t="str">
            <v>まったく余裕がなかった</v>
          </cell>
        </row>
        <row r="136">
          <cell r="B136" t="str">
            <v>有</v>
          </cell>
        </row>
        <row r="137">
          <cell r="B137" t="str">
            <v>無</v>
          </cell>
        </row>
        <row r="140">
          <cell r="B140" t="str">
            <v>昼間施工</v>
          </cell>
        </row>
        <row r="141">
          <cell r="B141" t="str">
            <v>夜間施工</v>
          </cell>
        </row>
        <row r="142">
          <cell r="B142" t="str">
            <v>昼夜間施工</v>
          </cell>
        </row>
        <row r="145">
          <cell r="B145" t="str">
            <v>路上</v>
          </cell>
        </row>
        <row r="146">
          <cell r="B146" t="str">
            <v>その他</v>
          </cell>
        </row>
        <row r="149">
          <cell r="B149" t="str">
            <v>日々運搬回送</v>
          </cell>
        </row>
        <row r="150">
          <cell r="B150" t="str">
            <v>保管場所あり</v>
          </cell>
        </row>
        <row r="153">
          <cell r="B153" t="str">
            <v>Yes</v>
          </cell>
        </row>
        <row r="154">
          <cell r="B154" t="str">
            <v>No</v>
          </cell>
        </row>
        <row r="181">
          <cell r="B181" t="str">
            <v>技術職員</v>
          </cell>
        </row>
        <row r="182">
          <cell r="B182" t="str">
            <v>事務職員</v>
          </cell>
        </row>
        <row r="183">
          <cell r="B183" t="str">
            <v>その他</v>
          </cell>
        </row>
        <row r="186">
          <cell r="B186" t="str">
            <v>YES</v>
          </cell>
        </row>
        <row r="187">
          <cell r="B187" t="str">
            <v>NO</v>
          </cell>
        </row>
        <row r="193">
          <cell r="B193" t="str">
            <v>水力発電施設、ずい道等新設事業</v>
          </cell>
          <cell r="C193">
            <v>0.19</v>
          </cell>
          <cell r="D193">
            <v>62</v>
          </cell>
        </row>
        <row r="194">
          <cell r="B194" t="str">
            <v>道路新設事業</v>
          </cell>
          <cell r="C194">
            <v>0.19</v>
          </cell>
          <cell r="D194">
            <v>11</v>
          </cell>
        </row>
        <row r="195">
          <cell r="B195" t="str">
            <v>舗装工事業</v>
          </cell>
          <cell r="C195">
            <v>0.17</v>
          </cell>
          <cell r="D195">
            <v>9</v>
          </cell>
        </row>
        <row r="196">
          <cell r="B196" t="str">
            <v>鉄道又は軌道新設事業</v>
          </cell>
          <cell r="C196">
            <v>0.24</v>
          </cell>
          <cell r="D196">
            <v>9</v>
          </cell>
        </row>
        <row r="197">
          <cell r="B197" t="str">
            <v>建築事業（既設建築物設備工事業を除く）</v>
          </cell>
          <cell r="C197">
            <v>0.23</v>
          </cell>
          <cell r="D197">
            <v>9.5</v>
          </cell>
        </row>
        <row r="198">
          <cell r="B198" t="str">
            <v>既設建築物設備工事業</v>
          </cell>
          <cell r="C198">
            <v>0.23</v>
          </cell>
          <cell r="D198">
            <v>12</v>
          </cell>
        </row>
        <row r="199">
          <cell r="B199" t="str">
            <v>機械装置の組立て又は据付けの事業（組立て又は取付けに関するもの）</v>
          </cell>
          <cell r="C199">
            <v>0.38</v>
          </cell>
          <cell r="D199">
            <v>6.5</v>
          </cell>
        </row>
        <row r="200">
          <cell r="B200" t="str">
            <v>機械装置の組立て又は据付けの事業（その他のもの）</v>
          </cell>
          <cell r="C200">
            <v>0.21</v>
          </cell>
          <cell r="D200">
            <v>6.5</v>
          </cell>
        </row>
        <row r="201">
          <cell r="B201" t="str">
            <v>その他の建設事業</v>
          </cell>
          <cell r="C201">
            <v>0.24</v>
          </cell>
          <cell r="D201">
            <v>15</v>
          </cell>
        </row>
        <row r="204">
          <cell r="B204" t="str">
            <v>1：支払い賃金合計×保険料率</v>
          </cell>
        </row>
        <row r="205">
          <cell r="B205" t="str">
            <v>2：（工事請負金×労務比率）×保険料率</v>
          </cell>
        </row>
        <row r="225">
          <cell r="A225" t="str">
            <v>ブルドーザ及びスクレーパ</v>
          </cell>
        </row>
        <row r="226">
          <cell r="A226" t="str">
            <v>掘削及び積込機</v>
          </cell>
        </row>
        <row r="227">
          <cell r="A227" t="str">
            <v>運搬機械</v>
          </cell>
        </row>
        <row r="228">
          <cell r="A228" t="str">
            <v>クレーンその他の荷役機械</v>
          </cell>
        </row>
        <row r="229">
          <cell r="A229" t="str">
            <v>基礎工事用機械</v>
          </cell>
        </row>
        <row r="230">
          <cell r="A230" t="str">
            <v>せん孔機械及びトンネル工事機械</v>
          </cell>
        </row>
        <row r="231">
          <cell r="A231" t="str">
            <v>モータグレーダ及び路盤用機械</v>
          </cell>
        </row>
        <row r="232">
          <cell r="A232" t="str">
            <v>締固め機械</v>
          </cell>
        </row>
        <row r="233">
          <cell r="A233" t="str">
            <v>コンクリート機械</v>
          </cell>
        </row>
        <row r="234">
          <cell r="A234" t="str">
            <v>舗装機械</v>
          </cell>
        </row>
        <row r="235">
          <cell r="A235" t="str">
            <v>道路維持用機械</v>
          </cell>
        </row>
        <row r="236">
          <cell r="A236" t="str">
            <v>空気圧縮機械及び送風機</v>
          </cell>
        </row>
        <row r="237">
          <cell r="A237" t="str">
            <v>建設用ポンプ</v>
          </cell>
        </row>
        <row r="238">
          <cell r="A238" t="str">
            <v>電気機器</v>
          </cell>
        </row>
        <row r="239">
          <cell r="A239" t="str">
            <v>ウインチ類</v>
          </cell>
        </row>
        <row r="240">
          <cell r="A240" t="str">
            <v>試験測定機</v>
          </cell>
        </row>
        <row r="241">
          <cell r="A241" t="str">
            <v>主作業船</v>
          </cell>
        </row>
        <row r="242">
          <cell r="A242" t="str">
            <v>付属作業船</v>
          </cell>
        </row>
        <row r="243">
          <cell r="A243" t="str">
            <v>作業船用付属品</v>
          </cell>
        </row>
        <row r="244">
          <cell r="A244" t="str">
            <v>港湾工事用付属機器</v>
          </cell>
        </row>
        <row r="245">
          <cell r="A245" t="str">
            <v>その他</v>
          </cell>
        </row>
        <row r="252">
          <cell r="B252" t="str">
            <v>最小限の安全対策</v>
          </cell>
        </row>
        <row r="253">
          <cell r="B253" t="str">
            <v>通常の安全対策</v>
          </cell>
        </row>
        <row r="254">
          <cell r="B254" t="str">
            <v>安全対策以上の対応</v>
          </cell>
        </row>
        <row r="301">
          <cell r="A301" t="str">
            <v>土質等試験</v>
          </cell>
        </row>
        <row r="302">
          <cell r="A302" t="str">
            <v>地質試験</v>
          </cell>
        </row>
        <row r="303">
          <cell r="A303" t="str">
            <v>上記以外</v>
          </cell>
        </row>
        <row r="336">
          <cell r="B336" t="str">
            <v>○</v>
          </cell>
        </row>
        <row r="337">
          <cell r="B337" t="str">
            <v>×</v>
          </cell>
        </row>
        <row r="341">
          <cell r="B341" t="str">
            <v>○</v>
          </cell>
        </row>
        <row r="342">
          <cell r="B342" t="str">
            <v>×</v>
          </cell>
        </row>
        <row r="434">
          <cell r="B434" t="str">
            <v>ICT土工</v>
          </cell>
        </row>
        <row r="435">
          <cell r="B435" t="str">
            <v>ICT舗装工</v>
          </cell>
        </row>
        <row r="436">
          <cell r="B436" t="str">
            <v>ICT浚渫工（河川）</v>
          </cell>
        </row>
        <row r="437">
          <cell r="B437" t="str">
            <v>ICT地盤改良工（浅層・中層混合処理）</v>
          </cell>
        </row>
        <row r="438">
          <cell r="B438" t="str">
            <v>ICT法面工（吹付工）</v>
          </cell>
        </row>
        <row r="439">
          <cell r="B439" t="str">
            <v>ICT付帯構造物設置工</v>
          </cell>
        </row>
        <row r="440">
          <cell r="B440" t="str">
            <v>ICT地盤改良工（深層）</v>
          </cell>
        </row>
        <row r="441">
          <cell r="B441" t="str">
            <v>ICT法面工（吹付法枠工）</v>
          </cell>
        </row>
        <row r="442">
          <cell r="B442" t="str">
            <v>ICT舗装工（修繕工）</v>
          </cell>
        </row>
        <row r="443">
          <cell r="B443" t="str">
            <v>その他</v>
          </cell>
        </row>
        <row r="446">
          <cell r="B446" t="str">
            <v>空中写真測量（無人航空機）</v>
          </cell>
        </row>
        <row r="447">
          <cell r="B447" t="str">
            <v>地上型レーザースキャナー</v>
          </cell>
        </row>
        <row r="448">
          <cell r="B448" t="str">
            <v>トータルステーション等光波方式</v>
          </cell>
        </row>
        <row r="449">
          <cell r="B449" t="str">
            <v>トータルステーション（ノンプリズム方式）</v>
          </cell>
        </row>
        <row r="450">
          <cell r="B450" t="str">
            <v>ＲＴＫ－ＧＮＳＳ</v>
          </cell>
        </row>
        <row r="451">
          <cell r="B451" t="str">
            <v>無人航空機搭載型レーザースキャナー</v>
          </cell>
        </row>
        <row r="452">
          <cell r="B452" t="str">
            <v>地上移動体搭載型レーザースキャナー</v>
          </cell>
        </row>
        <row r="453">
          <cell r="B453" t="str">
            <v>音響測探機器</v>
          </cell>
        </row>
        <row r="454">
          <cell r="B454" t="str">
            <v>その他の３次元計測技術</v>
          </cell>
        </row>
        <row r="457">
          <cell r="B457" t="str">
            <v>掘削（ＩＣＴ）（河床等掘削を除く）</v>
          </cell>
        </row>
        <row r="458">
          <cell r="B458" t="str">
            <v>路体（築堤）盛土（ＩＣＴ）</v>
          </cell>
        </row>
        <row r="459">
          <cell r="B459" t="str">
            <v>路床盛土（ＩＣＴ）</v>
          </cell>
        </row>
        <row r="460">
          <cell r="B460" t="str">
            <v>法面整形（ＩＣＴ）</v>
          </cell>
        </row>
        <row r="461">
          <cell r="B461" t="str">
            <v>河床等掘削（ＩＣＴ）</v>
          </cell>
        </row>
        <row r="462">
          <cell r="B462" t="str">
            <v>作業土工（床掘）（ＩＣＴ）</v>
          </cell>
        </row>
        <row r="463">
          <cell r="B463" t="str">
            <v>不陸整正（ＩＣＴ）</v>
          </cell>
        </row>
        <row r="464">
          <cell r="B464" t="str">
            <v>下層路盤（車道・路肩部）（ＩＣＴ）</v>
          </cell>
        </row>
        <row r="465">
          <cell r="B465" t="str">
            <v>上層路盤（車道・路肩部）（ＩＣＴ）</v>
          </cell>
        </row>
        <row r="466">
          <cell r="B466" t="str">
            <v>バックホウ浚渫船（ＩＣＴ）</v>
          </cell>
        </row>
        <row r="467">
          <cell r="B467" t="str">
            <v>地盤改良工　安定処理（ＩＣＴ）</v>
          </cell>
        </row>
        <row r="468">
          <cell r="B468" t="str">
            <v>地盤改良工　中層混合処理（ＩＣＴ）</v>
          </cell>
        </row>
        <row r="469">
          <cell r="B469" t="str">
            <v>法面工（ＩＣＴ）</v>
          </cell>
        </row>
        <row r="470">
          <cell r="B470" t="str">
            <v>付帯構造物設置工（ＩＣＴ）</v>
          </cell>
        </row>
        <row r="471">
          <cell r="B471" t="str">
            <v>地盤改良工　スラリー撹拌工（ＩＣＴ）</v>
          </cell>
        </row>
        <row r="472">
          <cell r="B472" t="str">
            <v>切削オーバーレイ工（ＩＣＴ）</v>
          </cell>
        </row>
        <row r="473">
          <cell r="B473" t="str">
            <v>その他</v>
          </cell>
        </row>
        <row r="476">
          <cell r="B476" t="str">
            <v>3D-MGバックホウ</v>
          </cell>
        </row>
        <row r="477">
          <cell r="B477" t="str">
            <v>3D-MCバックホウ</v>
          </cell>
        </row>
        <row r="478">
          <cell r="B478" t="str">
            <v>3D-MGブルドーザ</v>
          </cell>
        </row>
        <row r="479">
          <cell r="B479" t="str">
            <v>3D-MCブルドーザ</v>
          </cell>
        </row>
        <row r="480">
          <cell r="B480" t="str">
            <v>3D-MCモータグレーダ</v>
          </cell>
        </row>
        <row r="481">
          <cell r="B481" t="str">
            <v>ICT中層混合処理機トレンチャ式</v>
          </cell>
        </row>
        <row r="482">
          <cell r="B482" t="str">
            <v>ICT深層混合処理機スラリー式</v>
          </cell>
        </row>
        <row r="483">
          <cell r="B483" t="str">
            <v>ICT路面切削機</v>
          </cell>
        </row>
        <row r="484">
          <cell r="B484" t="str">
            <v>その他</v>
          </cell>
        </row>
        <row r="487">
          <cell r="B487" t="str">
            <v>音響測探機器</v>
          </cell>
        </row>
        <row r="488">
          <cell r="B488" t="str">
            <v>施工履歴データ</v>
          </cell>
        </row>
        <row r="489">
          <cell r="B489" t="str">
            <v>その他の３次元計測技術</v>
          </cell>
        </row>
        <row r="492">
          <cell r="B492" t="str">
            <v>空中写真測量（無人航空機）</v>
          </cell>
        </row>
        <row r="493">
          <cell r="B493" t="str">
            <v>地上型レーザースキャナー</v>
          </cell>
        </row>
        <row r="494">
          <cell r="B494" t="str">
            <v>トータルステーション等光波方式</v>
          </cell>
        </row>
        <row r="495">
          <cell r="B495" t="str">
            <v>トータルステーション（ノンプリズム方式）</v>
          </cell>
        </row>
        <row r="496">
          <cell r="B496" t="str">
            <v>ＲＴＫ－ＧＮＳＳ</v>
          </cell>
        </row>
        <row r="497">
          <cell r="B497" t="str">
            <v>無人航空機搭載型レーザースキャナー</v>
          </cell>
        </row>
        <row r="498">
          <cell r="B498" t="str">
            <v>地上移動体搭載型レーザースキャナー</v>
          </cell>
        </row>
        <row r="499">
          <cell r="B499" t="str">
            <v>その他の３次元計測技術</v>
          </cell>
        </row>
        <row r="503">
          <cell r="A503" t="str">
            <v>令和3</v>
          </cell>
        </row>
        <row r="504">
          <cell r="A504" t="str">
            <v>令和2</v>
          </cell>
        </row>
        <row r="505">
          <cell r="A505" t="str">
            <v>令和元</v>
          </cell>
        </row>
        <row r="506">
          <cell r="A506" t="str">
            <v>平成31</v>
          </cell>
        </row>
        <row r="507">
          <cell r="A507" t="str">
            <v>平成30</v>
          </cell>
        </row>
        <row r="508">
          <cell r="A508" t="str">
            <v>平成29</v>
          </cell>
        </row>
        <row r="509">
          <cell r="A509" t="str">
            <v>平成28</v>
          </cell>
        </row>
        <row r="510">
          <cell r="A510" t="str">
            <v>平成27</v>
          </cell>
        </row>
        <row r="511">
          <cell r="A511" t="str">
            <v>平成26</v>
          </cell>
        </row>
        <row r="512">
          <cell r="A512" t="str">
            <v>平成25</v>
          </cell>
        </row>
      </sheetData>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準備費"/>
      <sheetName val="確認"/>
      <sheetName val="チェック"/>
      <sheetName val="要確認一覧表"/>
      <sheetName val="KKS"/>
      <sheetName val="Table"/>
    </sheetNames>
    <sheetDataSet>
      <sheetData sheetId="0" refreshError="1"/>
      <sheetData sheetId="1" refreshError="1"/>
      <sheetData sheetId="2" refreshError="1"/>
      <sheetData sheetId="3">
        <row r="23">
          <cell r="J23">
            <v>0</v>
          </cell>
        </row>
        <row r="24">
          <cell r="J24">
            <v>0</v>
          </cell>
        </row>
        <row r="25">
          <cell r="J25">
            <v>0</v>
          </cell>
        </row>
        <row r="27">
          <cell r="J27">
            <v>0</v>
          </cell>
        </row>
        <row r="46">
          <cell r="J46">
            <v>0</v>
          </cell>
        </row>
        <row r="55">
          <cell r="J55">
            <v>0</v>
          </cell>
        </row>
        <row r="58">
          <cell r="J58">
            <v>0</v>
          </cell>
        </row>
        <row r="74">
          <cell r="J74" t="str">
            <v>金　額（千円）</v>
          </cell>
        </row>
        <row r="117">
          <cell r="J117">
            <v>0</v>
          </cell>
        </row>
        <row r="122">
          <cell r="J122">
            <v>0</v>
          </cell>
        </row>
        <row r="123">
          <cell r="J123">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A5" t="str">
            <v>一般土木</v>
          </cell>
        </row>
        <row r="6">
          <cell r="A6" t="str">
            <v>ｱｽﾌｧﾙﾄ舗装</v>
          </cell>
        </row>
        <row r="7">
          <cell r="A7" t="str">
            <v>鋼橋上部</v>
          </cell>
        </row>
        <row r="8">
          <cell r="A8" t="str">
            <v>造園</v>
          </cell>
        </row>
        <row r="9">
          <cell r="A9" t="str">
            <v>セメント・コンクリート舗装</v>
          </cell>
        </row>
        <row r="10">
          <cell r="A10" t="str">
            <v>ＰＣ</v>
          </cell>
        </row>
        <row r="11">
          <cell r="A11" t="str">
            <v>法面処理</v>
          </cell>
        </row>
        <row r="12">
          <cell r="A12" t="str">
            <v>塗装</v>
          </cell>
        </row>
        <row r="13">
          <cell r="A13" t="str">
            <v>維持修繕</v>
          </cell>
        </row>
        <row r="14">
          <cell r="A14" t="str">
            <v>しゅんせつ</v>
          </cell>
        </row>
        <row r="15">
          <cell r="A15" t="str">
            <v>グラウト</v>
          </cell>
        </row>
        <row r="16">
          <cell r="A16" t="str">
            <v>杭打</v>
          </cell>
        </row>
        <row r="17">
          <cell r="A17" t="str">
            <v>さく井</v>
          </cell>
        </row>
        <row r="18">
          <cell r="A18" t="str">
            <v>電気設備</v>
          </cell>
        </row>
        <row r="19">
          <cell r="A19" t="str">
            <v>通信設備</v>
          </cell>
        </row>
        <row r="20">
          <cell r="A20" t="str">
            <v>受変電設備</v>
          </cell>
        </row>
        <row r="21">
          <cell r="A21" t="str">
            <v>暖冷房衛生設備</v>
          </cell>
        </row>
        <row r="22">
          <cell r="A22" t="str">
            <v>機械設備</v>
          </cell>
        </row>
        <row r="23">
          <cell r="A23" t="str">
            <v>建築</v>
          </cell>
        </row>
        <row r="24">
          <cell r="A24" t="str">
            <v>木造建築</v>
          </cell>
        </row>
        <row r="25">
          <cell r="A25" t="str">
            <v>プレハブ建築</v>
          </cell>
        </row>
        <row r="26">
          <cell r="A26" t="str">
            <v>港湾土木工事</v>
          </cell>
        </row>
        <row r="27">
          <cell r="A27" t="str">
            <v>農林土木工事</v>
          </cell>
        </row>
        <row r="28">
          <cell r="A28" t="str">
            <v>農林建築工事</v>
          </cell>
        </row>
        <row r="29">
          <cell r="A29" t="str">
            <v>その他</v>
          </cell>
        </row>
        <row r="33">
          <cell r="A33" t="str">
            <v>Ⅰ</v>
          </cell>
        </row>
        <row r="34">
          <cell r="A34" t="str">
            <v>Ⅱ</v>
          </cell>
        </row>
        <row r="35">
          <cell r="A35" t="str">
            <v>Ⅲ</v>
          </cell>
        </row>
        <row r="36">
          <cell r="A36" t="str">
            <v>Ⅳ</v>
          </cell>
        </row>
        <row r="37">
          <cell r="A37" t="str">
            <v>Ⅴ</v>
          </cell>
        </row>
        <row r="38">
          <cell r="A38" t="str">
            <v>Ⅵ</v>
          </cell>
        </row>
        <row r="39">
          <cell r="A39" t="str">
            <v>その他</v>
          </cell>
        </row>
        <row r="43">
          <cell r="A43" t="str">
            <v>一般競争入札(5.8億円以上)</v>
          </cell>
        </row>
        <row r="44">
          <cell r="A44" t="str">
            <v>一般競争入札(5.8億円未満)</v>
          </cell>
        </row>
        <row r="45">
          <cell r="A45" t="str">
            <v xml:space="preserve">工事希望型競争入札 </v>
          </cell>
        </row>
        <row r="46">
          <cell r="A46" t="str">
            <v xml:space="preserve">指名競争入札 </v>
          </cell>
        </row>
        <row r="47">
          <cell r="A47" t="str">
            <v>随意契約</v>
          </cell>
        </row>
        <row r="48">
          <cell r="A48" t="str">
            <v>その他</v>
          </cell>
        </row>
        <row r="52">
          <cell r="A52" t="str">
            <v>5％以下</v>
          </cell>
        </row>
        <row r="53">
          <cell r="A53" t="str">
            <v>5％を超え15％以下</v>
          </cell>
        </row>
        <row r="54">
          <cell r="A54" t="str">
            <v>15％を超え25％以下</v>
          </cell>
        </row>
        <row r="55">
          <cell r="A55" t="str">
            <v>25％を超え35％以下</v>
          </cell>
        </row>
        <row r="56">
          <cell r="A56" t="str">
            <v>35％を超えるもの</v>
          </cell>
        </row>
        <row r="60">
          <cell r="A60" t="str">
            <v>総合評価　標準Ⅰ型</v>
          </cell>
        </row>
        <row r="61">
          <cell r="A61" t="str">
            <v>総合評価　標準Ⅱ型</v>
          </cell>
        </row>
        <row r="62">
          <cell r="A62" t="str">
            <v>総合評価　簡易型</v>
          </cell>
        </row>
        <row r="63">
          <cell r="A63" t="str">
            <v>総合評価　技術提案評価型Ｓ型（WTO以外）</v>
          </cell>
        </row>
        <row r="64">
          <cell r="A64" t="str">
            <v>総合評価　技術提案評価型Ｓ型（WTO）</v>
          </cell>
        </row>
        <row r="65">
          <cell r="A65" t="str">
            <v>総合評価　技術提案評価型Ａ型</v>
          </cell>
        </row>
        <row r="66">
          <cell r="A66" t="str">
            <v>総合評価　施工能力評価型Ⅰ型</v>
          </cell>
        </row>
        <row r="67">
          <cell r="A67" t="str">
            <v>総合評価　施工能力評価型Ⅱ型</v>
          </cell>
        </row>
        <row r="68">
          <cell r="A68" t="str">
            <v>その他（価格評価等）</v>
          </cell>
        </row>
        <row r="77">
          <cell r="B77" t="str">
            <v>501：北海道総合事務所</v>
          </cell>
        </row>
        <row r="78">
          <cell r="B78" t="str">
            <v>502：東北総合事務所</v>
          </cell>
        </row>
        <row r="79">
          <cell r="B79" t="str">
            <v>503：関東・北陸総合事務所</v>
          </cell>
        </row>
        <row r="80">
          <cell r="B80" t="str">
            <v>504：東海総合事務所</v>
          </cell>
        </row>
        <row r="81">
          <cell r="B81" t="str">
            <v>505：近畿・中国総合事務所</v>
          </cell>
        </row>
        <row r="82">
          <cell r="B82" t="str">
            <v>506：四国総合事務所</v>
          </cell>
        </row>
        <row r="83">
          <cell r="B83" t="str">
            <v>507：九州総合事務所</v>
          </cell>
        </row>
        <row r="84">
          <cell r="B84" t="str">
            <v>999：その他</v>
          </cell>
        </row>
        <row r="85">
          <cell r="B85" t="str">
            <v>001：北海道</v>
          </cell>
        </row>
        <row r="86">
          <cell r="B86" t="str">
            <v>002：青森県</v>
          </cell>
        </row>
        <row r="87">
          <cell r="B87" t="str">
            <v>003：岩手県</v>
          </cell>
        </row>
        <row r="88">
          <cell r="B88" t="str">
            <v>004：宮城県</v>
          </cell>
        </row>
        <row r="89">
          <cell r="B89" t="str">
            <v>005：秋田県</v>
          </cell>
        </row>
        <row r="90">
          <cell r="B90" t="str">
            <v>006：山形県</v>
          </cell>
        </row>
        <row r="91">
          <cell r="B91" t="str">
            <v>007：福島県</v>
          </cell>
        </row>
        <row r="92">
          <cell r="B92" t="str">
            <v>008：茨城県</v>
          </cell>
        </row>
        <row r="93">
          <cell r="B93" t="str">
            <v>009：栃木県</v>
          </cell>
        </row>
        <row r="94">
          <cell r="B94" t="str">
            <v>010：群馬県</v>
          </cell>
        </row>
        <row r="95">
          <cell r="B95" t="str">
            <v>011：埼玉県</v>
          </cell>
        </row>
        <row r="96">
          <cell r="B96" t="str">
            <v>012：千葉県</v>
          </cell>
        </row>
        <row r="97">
          <cell r="B97" t="str">
            <v>013：東京都</v>
          </cell>
        </row>
        <row r="98">
          <cell r="B98" t="str">
            <v>014：神奈川県</v>
          </cell>
        </row>
        <row r="99">
          <cell r="B99" t="str">
            <v>015：新潟県</v>
          </cell>
        </row>
        <row r="100">
          <cell r="B100" t="str">
            <v>016：富山県</v>
          </cell>
        </row>
        <row r="101">
          <cell r="B101" t="str">
            <v>017：石川県</v>
          </cell>
        </row>
        <row r="102">
          <cell r="B102" t="str">
            <v>018：福井県</v>
          </cell>
        </row>
        <row r="103">
          <cell r="B103" t="str">
            <v>019：山梨県</v>
          </cell>
        </row>
        <row r="104">
          <cell r="B104" t="str">
            <v>020：長野県</v>
          </cell>
        </row>
        <row r="105">
          <cell r="B105" t="str">
            <v>021：岐阜県</v>
          </cell>
        </row>
        <row r="106">
          <cell r="B106" t="str">
            <v>022：静岡県</v>
          </cell>
        </row>
        <row r="107">
          <cell r="B107" t="str">
            <v>023：愛知県</v>
          </cell>
        </row>
        <row r="108">
          <cell r="B108" t="str">
            <v>024：三重県</v>
          </cell>
        </row>
        <row r="109">
          <cell r="B109" t="str">
            <v>025：滋賀県</v>
          </cell>
        </row>
        <row r="110">
          <cell r="B110" t="str">
            <v>026：京都府</v>
          </cell>
        </row>
        <row r="111">
          <cell r="B111" t="str">
            <v>027：大阪府</v>
          </cell>
        </row>
        <row r="112">
          <cell r="B112" t="str">
            <v>028：兵庫県</v>
          </cell>
        </row>
        <row r="113">
          <cell r="B113" t="str">
            <v>029：奈良県</v>
          </cell>
        </row>
        <row r="114">
          <cell r="B114" t="str">
            <v>030：和歌山県</v>
          </cell>
        </row>
        <row r="115">
          <cell r="B115" t="str">
            <v>031：鳥取県</v>
          </cell>
        </row>
        <row r="116">
          <cell r="B116" t="str">
            <v>032：島根県</v>
          </cell>
        </row>
        <row r="117">
          <cell r="B117" t="str">
            <v>033：岡山県</v>
          </cell>
        </row>
        <row r="118">
          <cell r="B118" t="str">
            <v>034：広島県</v>
          </cell>
        </row>
        <row r="119">
          <cell r="B119" t="str">
            <v>035：山口県</v>
          </cell>
        </row>
        <row r="120">
          <cell r="B120" t="str">
            <v>036：徳島県</v>
          </cell>
        </row>
        <row r="121">
          <cell r="B121" t="str">
            <v>037：香川県</v>
          </cell>
        </row>
        <row r="122">
          <cell r="B122" t="str">
            <v>038：愛媛県</v>
          </cell>
        </row>
        <row r="123">
          <cell r="B123" t="str">
            <v>039：高知県</v>
          </cell>
        </row>
        <row r="124">
          <cell r="B124" t="str">
            <v>040：福岡県</v>
          </cell>
        </row>
        <row r="125">
          <cell r="B125" t="str">
            <v>041：佐賀県</v>
          </cell>
        </row>
        <row r="126">
          <cell r="B126" t="str">
            <v>042：長崎県</v>
          </cell>
        </row>
        <row r="127">
          <cell r="B127" t="str">
            <v>043：熊本県</v>
          </cell>
        </row>
        <row r="128">
          <cell r="B128" t="str">
            <v>044：大分県</v>
          </cell>
        </row>
        <row r="129">
          <cell r="B129" t="str">
            <v>045：宮崎県</v>
          </cell>
        </row>
        <row r="130">
          <cell r="B130" t="str">
            <v>046：鹿児島県</v>
          </cell>
        </row>
        <row r="131">
          <cell r="B131" t="str">
            <v>047：沖縄県</v>
          </cell>
        </row>
        <row r="132">
          <cell r="B132" t="str">
            <v>048：札幌市</v>
          </cell>
        </row>
        <row r="133">
          <cell r="B133" t="str">
            <v>049：横浜市</v>
          </cell>
        </row>
        <row r="134">
          <cell r="B134" t="str">
            <v>050：川崎市</v>
          </cell>
        </row>
        <row r="135">
          <cell r="B135" t="str">
            <v>051：名古屋市</v>
          </cell>
        </row>
        <row r="136">
          <cell r="B136" t="str">
            <v>052：京都市</v>
          </cell>
        </row>
        <row r="137">
          <cell r="B137" t="str">
            <v>053：大阪市</v>
          </cell>
        </row>
        <row r="138">
          <cell r="B138" t="str">
            <v>054：神戸市</v>
          </cell>
        </row>
        <row r="139">
          <cell r="B139" t="str">
            <v>055：北九州市</v>
          </cell>
        </row>
        <row r="140">
          <cell r="B140" t="str">
            <v>056：福岡市</v>
          </cell>
        </row>
        <row r="141">
          <cell r="B141" t="str">
            <v>057：広島市</v>
          </cell>
        </row>
        <row r="142">
          <cell r="B142" t="str">
            <v>058：仙台市</v>
          </cell>
        </row>
        <row r="143">
          <cell r="B143" t="str">
            <v>059：千葉市</v>
          </cell>
        </row>
        <row r="144">
          <cell r="B144" t="str">
            <v>060：さいたま市</v>
          </cell>
        </row>
        <row r="145">
          <cell r="B145" t="str">
            <v>061：静岡市</v>
          </cell>
        </row>
        <row r="146">
          <cell r="B146" t="str">
            <v>062：堺市</v>
          </cell>
        </row>
        <row r="147">
          <cell r="B147" t="str">
            <v>063：新潟市</v>
          </cell>
        </row>
        <row r="148">
          <cell r="B148" t="str">
            <v>064：浜松市</v>
          </cell>
        </row>
        <row r="149">
          <cell r="B149" t="str">
            <v>065：岡山市</v>
          </cell>
        </row>
        <row r="150">
          <cell r="B150" t="str">
            <v>066：相模原市</v>
          </cell>
        </row>
        <row r="151">
          <cell r="B151" t="str">
            <v>067：熊本市</v>
          </cell>
        </row>
        <row r="152">
          <cell r="B152" t="str">
            <v>999：その他</v>
          </cell>
        </row>
        <row r="157">
          <cell r="A157" t="str">
            <v>有り</v>
          </cell>
        </row>
        <row r="158">
          <cell r="A158" t="str">
            <v>無し</v>
          </cell>
        </row>
        <row r="162">
          <cell r="A162" t="str">
            <v>単品スライド</v>
          </cell>
        </row>
        <row r="163">
          <cell r="A163" t="str">
            <v>単品スライド・全体スライド併用</v>
          </cell>
        </row>
        <row r="164">
          <cell r="A164" t="str">
            <v>単品スライド・インフレスライド併用</v>
          </cell>
        </row>
        <row r="165">
          <cell r="A165" t="str">
            <v>全体スライド</v>
          </cell>
        </row>
        <row r="166">
          <cell r="A166" t="str">
            <v>インフレスライド</v>
          </cell>
        </row>
        <row r="170">
          <cell r="A170" t="str">
            <v>総価契約単価合意方式【ユニットプライス】</v>
          </cell>
        </row>
        <row r="171">
          <cell r="A171" t="str">
            <v>総価契約単価合意方式【積上げ（個別）】</v>
          </cell>
        </row>
        <row r="172">
          <cell r="A172" t="str">
            <v>総価契約単価合意方式【積上げ（包括）】</v>
          </cell>
        </row>
        <row r="178">
          <cell r="A178" t="str">
            <v>1：市街地</v>
          </cell>
        </row>
        <row r="179">
          <cell r="A179" t="str">
            <v>2：山間僻地及び離島</v>
          </cell>
        </row>
        <row r="180">
          <cell r="A180" t="str">
            <v>3：地　方（一般交通等の影響を受ける地区）</v>
          </cell>
        </row>
        <row r="181">
          <cell r="A181" t="str">
            <v>4：地　方（一般交通等の影響を受けない地区）</v>
          </cell>
        </row>
        <row r="185">
          <cell r="A185" t="str">
            <v>121：下水道工事（１）</v>
          </cell>
        </row>
        <row r="186">
          <cell r="A186" t="str">
            <v>601：下水道工事（２）「函渠、管渠等（開削）」　</v>
          </cell>
        </row>
        <row r="187">
          <cell r="A187" t="str">
            <v>602：下水道工事（２）「側溝、水路等」　</v>
          </cell>
        </row>
        <row r="188">
          <cell r="A188" t="str">
            <v>603：下水道工事（２）「推進（口径≦500mm）」</v>
          </cell>
        </row>
        <row r="189">
          <cell r="A189" t="str">
            <v>604：下水道工事（２）「推進（500mm&lt;口径&lt;800mm）」</v>
          </cell>
        </row>
        <row r="190">
          <cell r="A190" t="str">
            <v>123：下水道工事（３）</v>
          </cell>
        </row>
        <row r="191">
          <cell r="A191" t="str">
            <v>611：下水道工事（４）管更生「製管工法（機械製管）」</v>
          </cell>
        </row>
        <row r="192">
          <cell r="A192" t="str">
            <v>612：下水道工事（４）管更生「製管工法（人力製管）」</v>
          </cell>
        </row>
        <row r="193">
          <cell r="A193" t="str">
            <v>613：下水道工事（４）管更生「反転工法」</v>
          </cell>
        </row>
        <row r="194">
          <cell r="A194" t="str">
            <v>614：下水道工事（４）管更生「形成工法」</v>
          </cell>
        </row>
        <row r="195">
          <cell r="A195" t="str">
            <v>615：下水道工事（４）管更生「その他工法」</v>
          </cell>
        </row>
        <row r="199">
          <cell r="A199" t="str">
            <v>1：一般道路</v>
          </cell>
        </row>
        <row r="200">
          <cell r="A200" t="str">
            <v>2：自動車専用道路</v>
          </cell>
        </row>
        <row r="201">
          <cell r="A201" t="str">
            <v>3：自動車専用道路及び鉄道等に近接又は交差する場所</v>
          </cell>
        </row>
        <row r="202">
          <cell r="A202" t="str">
            <v>4：上記以外の工事場所 （但し、空港制限区域内工事は除く）</v>
          </cell>
        </row>
        <row r="206">
          <cell r="A206" t="str">
            <v>1：補正有り</v>
          </cell>
        </row>
        <row r="207">
          <cell r="A207" t="str">
            <v>2：補正なし</v>
          </cell>
        </row>
        <row r="211">
          <cell r="C211" t="str">
            <v>101：千代田区</v>
          </cell>
        </row>
        <row r="212">
          <cell r="C212" t="str">
            <v>102：中央区</v>
          </cell>
        </row>
        <row r="213">
          <cell r="C213" t="str">
            <v>103：港区</v>
          </cell>
        </row>
        <row r="214">
          <cell r="C214" t="str">
            <v>104：新宿区</v>
          </cell>
        </row>
        <row r="215">
          <cell r="C215" t="str">
            <v>105：文京区</v>
          </cell>
        </row>
        <row r="216">
          <cell r="C216" t="str">
            <v>106：台東区</v>
          </cell>
        </row>
        <row r="217">
          <cell r="C217" t="str">
            <v>107：墨田区</v>
          </cell>
        </row>
        <row r="218">
          <cell r="C218" t="str">
            <v>108：江東区</v>
          </cell>
        </row>
        <row r="219">
          <cell r="C219" t="str">
            <v>109：品川区</v>
          </cell>
        </row>
        <row r="220">
          <cell r="C220" t="str">
            <v>110：目黒区</v>
          </cell>
        </row>
        <row r="221">
          <cell r="C221" t="str">
            <v>111：大田区</v>
          </cell>
        </row>
        <row r="222">
          <cell r="C222" t="str">
            <v>112：世田谷区</v>
          </cell>
        </row>
        <row r="223">
          <cell r="C223" t="str">
            <v>113：渋谷区</v>
          </cell>
        </row>
        <row r="224">
          <cell r="C224" t="str">
            <v>114：中野区</v>
          </cell>
        </row>
        <row r="225">
          <cell r="C225" t="str">
            <v>115：杉並区</v>
          </cell>
        </row>
        <row r="226">
          <cell r="C226" t="str">
            <v>116：豊島区</v>
          </cell>
        </row>
        <row r="227">
          <cell r="C227" t="str">
            <v>117：北区</v>
          </cell>
        </row>
        <row r="228">
          <cell r="C228" t="str">
            <v>118：荒川区</v>
          </cell>
        </row>
        <row r="229">
          <cell r="C229" t="str">
            <v>119：板橋区</v>
          </cell>
        </row>
        <row r="230">
          <cell r="C230" t="str">
            <v>120：練馬区</v>
          </cell>
        </row>
        <row r="231">
          <cell r="C231" t="str">
            <v>121：足立区</v>
          </cell>
        </row>
        <row r="232">
          <cell r="C232" t="str">
            <v>238：熊本市</v>
          </cell>
        </row>
        <row r="233">
          <cell r="C233" t="str">
            <v>201：函館市</v>
          </cell>
        </row>
        <row r="234">
          <cell r="C234" t="str">
            <v>202：旭川市</v>
          </cell>
        </row>
        <row r="235">
          <cell r="C235" t="str">
            <v>203：青森市</v>
          </cell>
        </row>
        <row r="236">
          <cell r="C236" t="str">
            <v>204：盛岡市</v>
          </cell>
        </row>
        <row r="237">
          <cell r="C237" t="str">
            <v>205：秋田市</v>
          </cell>
        </row>
        <row r="238">
          <cell r="C238" t="str">
            <v>206：郡山市</v>
          </cell>
        </row>
        <row r="239">
          <cell r="C239" t="str">
            <v>207：いわき市</v>
          </cell>
        </row>
        <row r="240">
          <cell r="C240" t="str">
            <v>208：宇都宮市</v>
          </cell>
        </row>
        <row r="241">
          <cell r="C241" t="str">
            <v>209：前橋市</v>
          </cell>
        </row>
        <row r="242">
          <cell r="C242" t="str">
            <v>210：川越市</v>
          </cell>
        </row>
        <row r="243">
          <cell r="C243" t="str">
            <v>211：船橋市</v>
          </cell>
        </row>
        <row r="244">
          <cell r="C244" t="str">
            <v>212：柏市</v>
          </cell>
        </row>
        <row r="245">
          <cell r="C245" t="str">
            <v>213：横須賀市</v>
          </cell>
        </row>
        <row r="246">
          <cell r="C246" t="str">
            <v>215：富山市</v>
          </cell>
        </row>
        <row r="247">
          <cell r="C247" t="str">
            <v>216：金沢市</v>
          </cell>
        </row>
        <row r="248">
          <cell r="C248" t="str">
            <v>217：長野市</v>
          </cell>
        </row>
        <row r="249">
          <cell r="C249" t="str">
            <v>218：岐阜市</v>
          </cell>
        </row>
        <row r="250">
          <cell r="C250" t="str">
            <v>219：豊橋市</v>
          </cell>
        </row>
        <row r="251">
          <cell r="C251" t="str">
            <v>220：豊田市</v>
          </cell>
        </row>
        <row r="252">
          <cell r="C252" t="str">
            <v>221：岡崎市</v>
          </cell>
        </row>
        <row r="253">
          <cell r="C253" t="str">
            <v>222：大津市</v>
          </cell>
        </row>
        <row r="254">
          <cell r="C254" t="str">
            <v>223：高槻市</v>
          </cell>
        </row>
        <row r="255">
          <cell r="C255" t="str">
            <v>224：東大阪市</v>
          </cell>
        </row>
        <row r="256">
          <cell r="C256" t="str">
            <v>225：姫路市</v>
          </cell>
        </row>
        <row r="257">
          <cell r="C257" t="str">
            <v>226：尼崎市</v>
          </cell>
        </row>
        <row r="258">
          <cell r="C258" t="str">
            <v>227：西宮市</v>
          </cell>
        </row>
        <row r="259">
          <cell r="C259" t="str">
            <v>228：奈良市</v>
          </cell>
        </row>
        <row r="260">
          <cell r="C260" t="str">
            <v>229：和歌山市</v>
          </cell>
        </row>
        <row r="261">
          <cell r="C261" t="str">
            <v>230：倉敷市</v>
          </cell>
        </row>
        <row r="262">
          <cell r="C262" t="str">
            <v>231：福山市</v>
          </cell>
        </row>
        <row r="263">
          <cell r="C263" t="str">
            <v>232：下関市</v>
          </cell>
        </row>
        <row r="264">
          <cell r="C264" t="str">
            <v>233：高松市</v>
          </cell>
        </row>
        <row r="265">
          <cell r="C265" t="str">
            <v>234：松山市</v>
          </cell>
        </row>
        <row r="266">
          <cell r="C266" t="str">
            <v>235：高知市</v>
          </cell>
        </row>
        <row r="267">
          <cell r="C267" t="str">
            <v>236：久留米市</v>
          </cell>
        </row>
        <row r="268">
          <cell r="C268" t="str">
            <v>237：長崎市</v>
          </cell>
        </row>
        <row r="269">
          <cell r="C269" t="str">
            <v>239：大分市</v>
          </cell>
        </row>
        <row r="270">
          <cell r="C270" t="str">
            <v>240：宮崎市</v>
          </cell>
        </row>
        <row r="271">
          <cell r="C271" t="str">
            <v>241：鹿児島市</v>
          </cell>
        </row>
        <row r="272">
          <cell r="C272" t="str">
            <v>305：高崎市</v>
          </cell>
        </row>
        <row r="273">
          <cell r="C273" t="str">
            <v>330：豊中市</v>
          </cell>
        </row>
        <row r="274">
          <cell r="C274" t="str">
            <v>242：那覇市</v>
          </cell>
        </row>
        <row r="275">
          <cell r="C275" t="str">
            <v>301：八戸市</v>
          </cell>
        </row>
        <row r="276">
          <cell r="C276" t="str">
            <v>302：山形市</v>
          </cell>
        </row>
        <row r="277">
          <cell r="C277" t="str">
            <v>303：水戸市</v>
          </cell>
        </row>
        <row r="278">
          <cell r="C278" t="str">
            <v>304：つくば市</v>
          </cell>
        </row>
        <row r="279">
          <cell r="C279" t="str">
            <v>306：伊勢崎市</v>
          </cell>
        </row>
        <row r="280">
          <cell r="C280" t="str">
            <v>307：太田市</v>
          </cell>
        </row>
        <row r="281">
          <cell r="C281" t="str">
            <v>308：熊谷市</v>
          </cell>
        </row>
        <row r="282">
          <cell r="C282" t="str">
            <v>309：川口市</v>
          </cell>
        </row>
        <row r="283">
          <cell r="C283" t="str">
            <v>310：所沢市</v>
          </cell>
        </row>
        <row r="284">
          <cell r="C284" t="str">
            <v>311：越谷市</v>
          </cell>
        </row>
        <row r="285">
          <cell r="C285" t="str">
            <v>312：草加市</v>
          </cell>
        </row>
        <row r="286">
          <cell r="C286" t="str">
            <v>313：春日部市</v>
          </cell>
        </row>
        <row r="287">
          <cell r="C287" t="str">
            <v>314：平塚市</v>
          </cell>
        </row>
        <row r="288">
          <cell r="C288" t="str">
            <v>315：小田原市</v>
          </cell>
        </row>
        <row r="289">
          <cell r="C289" t="str">
            <v>316：茅ヶ崎市</v>
          </cell>
        </row>
        <row r="290">
          <cell r="C290" t="str">
            <v>317：厚木市</v>
          </cell>
        </row>
        <row r="291">
          <cell r="C291" t="str">
            <v>318：大和市</v>
          </cell>
        </row>
        <row r="292">
          <cell r="C292" t="str">
            <v>319：長岡市</v>
          </cell>
        </row>
        <row r="293">
          <cell r="C293" t="str">
            <v>320：上越市</v>
          </cell>
        </row>
        <row r="294">
          <cell r="C294" t="str">
            <v>321：福井市</v>
          </cell>
        </row>
        <row r="295">
          <cell r="C295" t="str">
            <v>322：甲府市</v>
          </cell>
        </row>
        <row r="296">
          <cell r="C296" t="str">
            <v>323：松本市</v>
          </cell>
        </row>
        <row r="297">
          <cell r="C297" t="str">
            <v>324：沼津市</v>
          </cell>
        </row>
        <row r="298">
          <cell r="C298" t="str">
            <v>325：富士市</v>
          </cell>
        </row>
        <row r="299">
          <cell r="C299" t="str">
            <v>326：一宮市</v>
          </cell>
        </row>
        <row r="300">
          <cell r="C300" t="str">
            <v>327：春日井市</v>
          </cell>
        </row>
        <row r="301">
          <cell r="C301" t="str">
            <v>328：四日市市</v>
          </cell>
        </row>
        <row r="302">
          <cell r="C302" t="str">
            <v>329：岸和田市</v>
          </cell>
        </row>
        <row r="303">
          <cell r="C303" t="str">
            <v>331：吹田市</v>
          </cell>
        </row>
        <row r="304">
          <cell r="C304" t="str">
            <v>332：枚方市</v>
          </cell>
        </row>
        <row r="305">
          <cell r="C305" t="str">
            <v>333：茨木市</v>
          </cell>
        </row>
        <row r="306">
          <cell r="C306" t="str">
            <v>334：八尾市</v>
          </cell>
        </row>
        <row r="307">
          <cell r="C307" t="str">
            <v>335：寝屋川市</v>
          </cell>
        </row>
        <row r="308">
          <cell r="C308" t="str">
            <v>336：明石市</v>
          </cell>
        </row>
        <row r="309">
          <cell r="C309" t="str">
            <v>337：加古川市</v>
          </cell>
        </row>
        <row r="310">
          <cell r="C310" t="str">
            <v>338：宝塚市</v>
          </cell>
        </row>
        <row r="311">
          <cell r="C311" t="str">
            <v>339：鳥取市</v>
          </cell>
        </row>
        <row r="312">
          <cell r="C312" t="str">
            <v>340：呉市</v>
          </cell>
        </row>
        <row r="313">
          <cell r="C313" t="str">
            <v>341：佐世保市</v>
          </cell>
        </row>
        <row r="314">
          <cell r="C314" t="str">
            <v>342：松江市</v>
          </cell>
        </row>
        <row r="315">
          <cell r="C315" t="str">
            <v>099：その他</v>
          </cell>
        </row>
        <row r="319">
          <cell r="A319" t="str">
            <v>係数「0.95」・宿舎のみ使用</v>
          </cell>
        </row>
        <row r="320">
          <cell r="A320" t="str">
            <v>係数「0.95」・事務所のみ使用</v>
          </cell>
        </row>
        <row r="321">
          <cell r="A321" t="str">
            <v>係数「0.95」・倉庫のみ使用</v>
          </cell>
        </row>
        <row r="322">
          <cell r="A322" t="str">
            <v>係数「0.90」・宿舎と事務所を使用</v>
          </cell>
        </row>
        <row r="323">
          <cell r="A323" t="str">
            <v>係数「0.90」・宿舎と倉庫を使用</v>
          </cell>
        </row>
        <row r="324">
          <cell r="A324" t="str">
            <v>係数「0.90」・事務所と倉庫を使用</v>
          </cell>
        </row>
        <row r="325">
          <cell r="A325" t="str">
            <v>係数「0.85」・宿舎、事務所、倉庫を使用</v>
          </cell>
        </row>
        <row r="329">
          <cell r="A329" t="str">
            <v>有り</v>
          </cell>
        </row>
        <row r="330">
          <cell r="A330" t="str">
            <v>無し</v>
          </cell>
        </row>
        <row r="344">
          <cell r="A344">
            <v>1</v>
          </cell>
        </row>
        <row r="345">
          <cell r="A345">
            <v>2</v>
          </cell>
        </row>
        <row r="346">
          <cell r="A346">
            <v>5</v>
          </cell>
        </row>
        <row r="347">
          <cell r="A347">
            <v>7</v>
          </cell>
        </row>
        <row r="348">
          <cell r="A348">
            <v>8</v>
          </cell>
        </row>
        <row r="349">
          <cell r="A349">
            <v>9</v>
          </cell>
        </row>
        <row r="350">
          <cell r="A350" t="str">
            <v>Ｔ</v>
          </cell>
        </row>
        <row r="361">
          <cell r="A361" t="str">
            <v>降雨</v>
          </cell>
        </row>
        <row r="362">
          <cell r="A362" t="str">
            <v>降雪</v>
          </cell>
        </row>
        <row r="363">
          <cell r="A363" t="str">
            <v>風</v>
          </cell>
        </row>
        <row r="364">
          <cell r="A364" t="str">
            <v>波浪</v>
          </cell>
        </row>
        <row r="365">
          <cell r="A365" t="str">
            <v>その他</v>
          </cell>
        </row>
        <row r="371">
          <cell r="A371" t="str">
            <v>有</v>
          </cell>
        </row>
        <row r="372">
          <cell r="A372" t="str">
            <v>無</v>
          </cell>
        </row>
        <row r="376">
          <cell r="A376" t="str">
            <v>昼間施工</v>
          </cell>
        </row>
        <row r="377">
          <cell r="A377" t="str">
            <v>夜間施工</v>
          </cell>
        </row>
        <row r="378">
          <cell r="A378" t="str">
            <v>昼夜間施工</v>
          </cell>
        </row>
        <row r="382">
          <cell r="A382" t="str">
            <v>路上</v>
          </cell>
        </row>
        <row r="383">
          <cell r="A383" t="str">
            <v>その他</v>
          </cell>
        </row>
        <row r="387">
          <cell r="A387" t="str">
            <v>日々運搬回送</v>
          </cell>
        </row>
        <row r="388">
          <cell r="A388" t="str">
            <v>保管場所あり</v>
          </cell>
        </row>
        <row r="397">
          <cell r="A397" t="str">
            <v>市街地</v>
          </cell>
        </row>
        <row r="398">
          <cell r="A398" t="str">
            <v>山間僻地及び離島</v>
          </cell>
        </row>
        <row r="399">
          <cell r="A399" t="str">
            <v>地方部（施工場所が一般交通等の影響を受ける地区）</v>
          </cell>
        </row>
        <row r="400">
          <cell r="A400" t="str">
            <v>地方部（施工場所が一般交通等の影響を受けない地区）</v>
          </cell>
        </row>
        <row r="401">
          <cell r="A401" t="str">
            <v>大都市</v>
          </cell>
        </row>
        <row r="407">
          <cell r="A407" t="str">
            <v>YES</v>
          </cell>
        </row>
        <row r="408">
          <cell r="A408" t="str">
            <v>NO</v>
          </cell>
        </row>
        <row r="412">
          <cell r="A412" t="str">
            <v>占用許可</v>
          </cell>
        </row>
        <row r="413">
          <cell r="A413" t="str">
            <v>使用許可</v>
          </cell>
        </row>
        <row r="414">
          <cell r="A414" t="str">
            <v>用地取得</v>
          </cell>
        </row>
        <row r="415">
          <cell r="A415" t="str">
            <v>地元説明</v>
          </cell>
        </row>
        <row r="416">
          <cell r="A416" t="str">
            <v>概算概略発注</v>
          </cell>
        </row>
        <row r="417">
          <cell r="A417" t="str">
            <v>その他</v>
          </cell>
        </row>
        <row r="421">
          <cell r="A421" t="str">
            <v>4時間/日未満</v>
          </cell>
        </row>
        <row r="422">
          <cell r="A422" t="str">
            <v>4時間/日以上～7時間/日以下</v>
          </cell>
        </row>
        <row r="423">
          <cell r="A423" t="str">
            <v>7時間を超え7.5時間/日以下</v>
          </cell>
        </row>
        <row r="424">
          <cell r="A424" t="str">
            <v>その他</v>
          </cell>
        </row>
        <row r="430">
          <cell r="A430" t="str">
            <v>鋼製スリット</v>
          </cell>
        </row>
        <row r="431">
          <cell r="A431" t="str">
            <v>プレキャストアーチカルバート（ﾓｼﾞｭﾗｰﾁ・ﾃｸﾉｽﾊﾟﾝ等の製品費）</v>
          </cell>
        </row>
        <row r="432">
          <cell r="A432" t="str">
            <v>プレキャストスノーシェッド（ｽﾉｰｼｪｯﾄﾞ部材の製品費）</v>
          </cell>
        </row>
        <row r="433">
          <cell r="A433" t="str">
            <v>ＰＣスノーシェルター（ｽﾉｰｼｪﾙﾀｰ部材の製品費）</v>
          </cell>
        </row>
        <row r="434">
          <cell r="A434" t="str">
            <v>ＰＣ床版</v>
          </cell>
        </row>
        <row r="435">
          <cell r="A435" t="str">
            <v>コンポ橋用のＰＣ板</v>
          </cell>
        </row>
        <row r="436">
          <cell r="A436" t="str">
            <v>プレキャストボックスカルバート（内空5m×5m以上：車道BOX相当）</v>
          </cell>
        </row>
        <row r="437">
          <cell r="A437" t="str">
            <v>プレキャストボックスカルバート（RCﾌﾟﾚｷｬｽﾄﾎﾞｯｸｽｶﾙﾊﾞｰﾄの規格を超えるもの）</v>
          </cell>
        </row>
        <row r="438">
          <cell r="A438" t="str">
            <v>大型分割プレキャストボックスカルバート
　全て（RCﾌﾟﾚｷｬｽﾄﾎﾞｯｸｽｶﾙﾊﾞｰﾄの規格を超えるもの）</v>
          </cell>
        </row>
        <row r="439">
          <cell r="A439" t="str">
            <v>検査路（鋼橋積算の製作品）</v>
          </cell>
        </row>
        <row r="440">
          <cell r="A440" t="str">
            <v>検査路（ＰＣ橋積算の製品（購入品））</v>
          </cell>
        </row>
        <row r="441">
          <cell r="A441" t="str">
            <v>排水装置（鋼橋積算の製作品）</v>
          </cell>
        </row>
        <row r="442">
          <cell r="A442" t="str">
            <v>排水装置（ＰＣ橋積算の製品（購入品））</v>
          </cell>
        </row>
        <row r="443">
          <cell r="A443" t="str">
            <v>ゴム支承（鋼橋積算の製作品）</v>
          </cell>
        </row>
        <row r="444">
          <cell r="A444" t="str">
            <v>ゴム支承（ＰＣ橋積算）</v>
          </cell>
        </row>
        <row r="445">
          <cell r="A445" t="str">
            <v>鋼製支承（鋼橋積算）</v>
          </cell>
        </row>
        <row r="446">
          <cell r="A446" t="str">
            <v>鋼製支承（ＰＣ橋積算）</v>
          </cell>
        </row>
        <row r="447">
          <cell r="A447" t="str">
            <v>ジョイント（鋼橋積算の製作品）</v>
          </cell>
        </row>
        <row r="448">
          <cell r="A448" t="str">
            <v>ジョイント（ＰＣ橋積算の製品（購入品））</v>
          </cell>
        </row>
        <row r="449">
          <cell r="A449" t="str">
            <v>高欄（鋼橋積算の製作品）</v>
          </cell>
        </row>
        <row r="450">
          <cell r="A450" t="str">
            <v>高欄（ＰＣ橋積算の製品（購入品））</v>
          </cell>
        </row>
        <row r="451">
          <cell r="A451" t="str">
            <v>門扉等の「等」にあたるもの（品目欄の右に具体名を入力してください。）</v>
          </cell>
        </row>
        <row r="452">
          <cell r="A452" t="str">
            <v>合成床版</v>
          </cell>
        </row>
        <row r="453">
          <cell r="A453" t="str">
            <v>鋼製橋脚アンカーフレーム用アンカーボルト</v>
          </cell>
        </row>
        <row r="454">
          <cell r="A454" t="str">
            <v>遮音壁（工場で製作し、現地で設置した場合）</v>
          </cell>
        </row>
        <row r="455">
          <cell r="A455" t="str">
            <v>モニュメント（工場で製作し、現地で設置した場合）</v>
          </cell>
        </row>
        <row r="456">
          <cell r="A456" t="str">
            <v>デザイン高欄（工場で製作し、現地で設置した場合）</v>
          </cell>
        </row>
        <row r="457">
          <cell r="A457" t="str">
            <v>デザイン照明ポール（工場で製作し、現地で設置した場合）</v>
          </cell>
        </row>
        <row r="458">
          <cell r="A458" t="str">
            <v>セグメント桁</v>
          </cell>
        </row>
        <row r="459">
          <cell r="A459" t="str">
            <v>防雪柵（吹払防止）</v>
          </cell>
        </row>
        <row r="460">
          <cell r="A460" t="str">
            <v>その他（上記リスト以外は、品目欄の右に具体名を入力してください。）</v>
          </cell>
        </row>
        <row r="464">
          <cell r="A464" t="str">
            <v>不明</v>
          </cell>
        </row>
        <row r="470">
          <cell r="A470" t="str">
            <v>行った</v>
          </cell>
        </row>
        <row r="471">
          <cell r="A471" t="str">
            <v>行わない</v>
          </cell>
        </row>
        <row r="475">
          <cell r="A475" t="str">
            <v>○</v>
          </cell>
        </row>
        <row r="476">
          <cell r="A476"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期"/>
      <sheetName val="施工分散"/>
      <sheetName val="施工環境"/>
      <sheetName val="二次製品"/>
      <sheetName val="工事費"/>
      <sheetName val="二次製品（LED照明）"/>
      <sheetName val="準備費"/>
      <sheetName val="積算方式"/>
      <sheetName val="情報化施工"/>
      <sheetName val="確認"/>
      <sheetName val="チェック"/>
      <sheetName val="要確認一覧表"/>
      <sheetName val="KKS"/>
      <sheetName val="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3">
          <cell r="A393">
            <v>2</v>
          </cell>
        </row>
        <row r="416">
          <cell r="A416" t="str">
            <v>機器の製作及び据付け工事</v>
          </cell>
        </row>
        <row r="417">
          <cell r="A417" t="str">
            <v>機器の支給品がある工事</v>
          </cell>
        </row>
        <row r="418">
          <cell r="A418" t="str">
            <v>機器の製作のみの工事</v>
          </cell>
        </row>
        <row r="419">
          <cell r="A419" t="str">
            <v>上記が複合した工事</v>
          </cell>
        </row>
        <row r="420">
          <cell r="A420" t="str">
            <v>機器単体費の計上無し(機器の支給品がある工事は除く)</v>
          </cell>
        </row>
        <row r="434">
          <cell r="A434" t="str">
            <v>有り</v>
          </cell>
        </row>
        <row r="435">
          <cell r="A435" t="str">
            <v>無し</v>
          </cell>
        </row>
        <row r="563">
          <cell r="A563" t="str">
            <v>発注者指定</v>
          </cell>
        </row>
        <row r="564">
          <cell r="A564" t="str">
            <v>施工者希望</v>
          </cell>
        </row>
        <row r="586">
          <cell r="A586" t="str">
            <v>有り</v>
          </cell>
        </row>
        <row r="587">
          <cell r="A587" t="str">
            <v>無し</v>
          </cell>
        </row>
        <row r="614">
          <cell r="A614" t="str">
            <v>河川土工</v>
          </cell>
        </row>
        <row r="615">
          <cell r="A615" t="str">
            <v>道路土工</v>
          </cell>
        </row>
        <row r="616">
          <cell r="A616" t="str">
            <v>舗装工</v>
          </cell>
        </row>
        <row r="617">
          <cell r="A617" t="str">
            <v>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1_一般事項"/>
      <sheetName val="1-1_工事情報"/>
      <sheetName val="2_工期"/>
      <sheetName val="3_施工分散"/>
      <sheetName val="4_社員等従業員給料等"/>
      <sheetName val="5_現場支援"/>
      <sheetName val="6_法定福利費"/>
      <sheetName val="7_労務管理費"/>
      <sheetName val="8-1_機器材運搬費"/>
      <sheetName val="8-2_建設機械Ⅰ"/>
      <sheetName val="8-3_建設機械Ⅱ"/>
      <sheetName val="9_工事費"/>
      <sheetName val="10_下請入力"/>
      <sheetName val="11_組織図"/>
      <sheetName val="12_社員等従業員給料等_下請"/>
      <sheetName val="13_法定福利費_下請"/>
      <sheetName val="14_労務管理費_下請"/>
      <sheetName val="15-1_機器材運搬費_下請"/>
      <sheetName val="15-2_建設機械Ⅰ_下請"/>
      <sheetName val="15-3_建設機械Ⅱ_下請"/>
      <sheetName val="16-1_品質管理(港湾)"/>
      <sheetName val="16-2_特殊な品質管理"/>
      <sheetName val="16-3_現場条件等"/>
      <sheetName val="16-4_各種調査"/>
      <sheetName val="16-5_各種台帳"/>
      <sheetName val="16-6_その他"/>
      <sheetName val="17-1_準備・測量"/>
      <sheetName val="17-2_その他"/>
      <sheetName val="18-1_ｲﾒｰｼﾞｱｯﾌﾟ_仮設備(港湾)"/>
      <sheetName val="18-2_ｲﾒｰｼﾞｱｯﾌﾟ_営繕(港湾)"/>
      <sheetName val="18-3_ｲﾒｰｼﾞｱｯﾌﾟ_安全(港湾)"/>
      <sheetName val="18-4_ｲﾒｰｼﾞｱｯﾌﾟ_その他(港湾)"/>
      <sheetName val="19_水雷_傷害(港湾)"/>
      <sheetName val="20_労働者海上輸送(港湾)"/>
      <sheetName val="21_回航費(港湾)"/>
      <sheetName val="22_えい航費(港湾)"/>
      <sheetName val="23_施工地域"/>
      <sheetName val="24_施工形態"/>
      <sheetName val="25_足場費用"/>
      <sheetName val="26_確認"/>
      <sheetName val="table"/>
      <sheetName val="基礎データ"/>
      <sheetName val="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B3" t="str">
            <v>101：東北地方整備局</v>
          </cell>
        </row>
        <row r="126">
          <cell r="B126" t="str">
            <v>①同一港湾内で複数</v>
          </cell>
        </row>
        <row r="127">
          <cell r="B127" t="str">
            <v>②他の港湾を含めて複数</v>
          </cell>
        </row>
        <row r="290">
          <cell r="B290" t="str">
            <v>国際戦略港湾・国際拠点港湾</v>
          </cell>
        </row>
        <row r="291">
          <cell r="B291" t="str">
            <v>重要港湾</v>
          </cell>
        </row>
        <row r="292">
          <cell r="B292" t="str">
            <v>地方港湾(1)</v>
          </cell>
        </row>
        <row r="293">
          <cell r="B293" t="str">
            <v>地方港湾(2)</v>
          </cell>
        </row>
        <row r="294">
          <cell r="B294" t="str">
            <v>地方港湾(3)工事場所が一般交通等の影響を受ける場合</v>
          </cell>
        </row>
        <row r="295">
          <cell r="B295" t="str">
            <v>地方港湾(3)工事場所が一般交通等の影響を受けない場合</v>
          </cell>
        </row>
        <row r="296">
          <cell r="B296" t="str">
            <v>その他（下記の黄色の記入欄に具体的ご記入下さい）</v>
          </cell>
        </row>
        <row r="349">
          <cell r="B349" t="str">
            <v>無</v>
          </cell>
        </row>
        <row r="350">
          <cell r="B350" t="str">
            <v>有</v>
          </cell>
        </row>
        <row r="355">
          <cell r="B355" t="str">
            <v>浚渫工事</v>
          </cell>
        </row>
        <row r="356">
          <cell r="B356" t="str">
            <v>構造物工事</v>
          </cell>
        </row>
        <row r="357">
          <cell r="B357" t="str">
            <v>海岸工事</v>
          </cell>
        </row>
      </sheetData>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環境"/>
      <sheetName val="二次製品（港湾）"/>
      <sheetName val="準備費"/>
      <sheetName val="確認"/>
      <sheetName val="チェック"/>
      <sheetName val="要確認一覧表"/>
      <sheetName val="KKS"/>
      <sheetName val="Table"/>
      <sheetName val="基礎データ"/>
    </sheetNames>
    <sheetDataSet>
      <sheetData sheetId="0"/>
      <sheetData sheetId="1"/>
      <sheetData sheetId="2"/>
      <sheetData sheetId="3">
        <row r="24">
          <cell r="J24">
            <v>0</v>
          </cell>
        </row>
      </sheetData>
      <sheetData sheetId="4"/>
      <sheetData sheetId="5"/>
      <sheetData sheetId="6"/>
      <sheetData sheetId="7"/>
      <sheetData sheetId="8"/>
      <sheetData sheetId="9"/>
      <sheetData sheetId="10"/>
      <sheetData sheetId="11"/>
      <sheetData sheetId="12">
        <row r="5">
          <cell r="A5" t="str">
            <v>一般土木</v>
          </cell>
        </row>
        <row r="115">
          <cell r="A115" t="str">
            <v>低入札工事</v>
          </cell>
        </row>
        <row r="116">
          <cell r="A116" t="str">
            <v>低入札工事以外</v>
          </cell>
        </row>
        <row r="162">
          <cell r="A162" t="str">
            <v>1：国際戦略港湾・国際拠点港湾（2.0％）</v>
          </cell>
        </row>
        <row r="163">
          <cell r="A163" t="str">
            <v>2：重要港湾・地方港湾（１）（1.5％）</v>
          </cell>
        </row>
        <row r="164">
          <cell r="A164" t="str">
            <v>3：地方港湾（２）（1.0％）</v>
          </cell>
        </row>
        <row r="165">
          <cell r="A165" t="str">
            <v>4：地方港湾（３）工事場所が一般交通等の影響を受ける場合（1.5％）</v>
          </cell>
        </row>
        <row r="166">
          <cell r="A166" t="str">
            <v>5：地方港湾（３）工事場所が一般交通等の影響を受ける場合（0.0％）</v>
          </cell>
        </row>
        <row r="181">
          <cell r="A181" t="str">
            <v>1：国際戦略港湾・国際拠点港湾（1.5％）</v>
          </cell>
        </row>
        <row r="182">
          <cell r="A182" t="str">
            <v>2：重要港湾・地方港湾（１）（1.0％）</v>
          </cell>
        </row>
        <row r="183">
          <cell r="A183" t="str">
            <v>3：地方港湾（２）（0.5％）</v>
          </cell>
        </row>
        <row r="184">
          <cell r="A184" t="str">
            <v>4：地方港湾（３）工事場所が一般交通等の影響を受ける場合（1.0％）</v>
          </cell>
        </row>
        <row r="185">
          <cell r="A185" t="str">
            <v>5：地方港湾（３）工事場所が一般交通等の影響を受ける場合（0.0％）</v>
          </cell>
        </row>
        <row r="189">
          <cell r="A189" t="str">
            <v>1：補正あり・係数「1.8」</v>
          </cell>
        </row>
        <row r="190">
          <cell r="A190" t="str">
            <v>2：補正あり・係数「1.6」</v>
          </cell>
        </row>
        <row r="191">
          <cell r="A191" t="str">
            <v>3：補正あり・係数「1.4」</v>
          </cell>
        </row>
        <row r="192">
          <cell r="A192" t="str">
            <v>4：補正あり・係数「1.2」</v>
          </cell>
        </row>
        <row r="193">
          <cell r="A193" t="str">
            <v>5：補正なし</v>
          </cell>
        </row>
        <row r="385">
          <cell r="A385" t="str">
            <v>全面通行止め（常時）</v>
          </cell>
        </row>
        <row r="386">
          <cell r="A386" t="str">
            <v>全面通行止め（一時）</v>
          </cell>
        </row>
        <row r="387">
          <cell r="A387" t="str">
            <v>片側交互通行規制</v>
          </cell>
        </row>
        <row r="388">
          <cell r="A388" t="str">
            <v>車線規制</v>
          </cell>
        </row>
        <row r="389">
          <cell r="A389" t="str">
            <v>路肩規制</v>
          </cell>
        </row>
        <row r="390">
          <cell r="A390" t="str">
            <v>歩道規制</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二次製品（LED照明）"/>
      <sheetName val="準備費"/>
      <sheetName val="積算方式"/>
      <sheetName val="情報化施工"/>
      <sheetName val="確認"/>
      <sheetName val="チェック"/>
      <sheetName val="要確認一覧表"/>
      <sheetName val="KKS"/>
      <sheetName val="Table"/>
    </sheetNames>
    <sheetDataSet>
      <sheetData sheetId="0"/>
      <sheetData sheetId="1"/>
      <sheetData sheetId="2">
        <row r="38">
          <cell r="F3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56">
          <cell r="A556" t="str">
            <v>発注者指定</v>
          </cell>
        </row>
        <row r="557">
          <cell r="A557" t="str">
            <v>施工者希望</v>
          </cell>
        </row>
        <row r="561">
          <cell r="A561" t="str">
            <v>ＴＳ・ＧＮＳＳを用いた締固め管理</v>
          </cell>
        </row>
        <row r="562">
          <cell r="A562" t="str">
            <v>２ＤMＧ（バックホウ）</v>
          </cell>
        </row>
        <row r="563">
          <cell r="A563" t="str">
            <v>３ＤMＧ（バックホウ）</v>
          </cell>
        </row>
        <row r="564">
          <cell r="A564" t="str">
            <v>２ＤMＧ（ブルドーザ）</v>
          </cell>
        </row>
        <row r="565">
          <cell r="A565" t="str">
            <v>３ＤMＧ（ブルドーザ）</v>
          </cell>
        </row>
        <row r="566">
          <cell r="A566" t="str">
            <v>MC（ブルドーザ）</v>
          </cell>
        </row>
        <row r="567">
          <cell r="A567" t="str">
            <v>MC（モータグレーダ）</v>
          </cell>
        </row>
        <row r="568">
          <cell r="A568" t="str">
            <v>TS出来形管理（舗装工）</v>
          </cell>
        </row>
        <row r="569">
          <cell r="A569" t="str">
            <v>TS出来形管理（土工）</v>
          </cell>
        </row>
        <row r="579">
          <cell r="A579" t="str">
            <v>有り</v>
          </cell>
        </row>
        <row r="580">
          <cell r="A580" t="str">
            <v>無し</v>
          </cell>
        </row>
        <row r="607">
          <cell r="A607" t="str">
            <v>河川土工</v>
          </cell>
        </row>
        <row r="608">
          <cell r="A608" t="str">
            <v>道路土工</v>
          </cell>
        </row>
        <row r="609">
          <cell r="A609" t="str">
            <v>舗装工</v>
          </cell>
        </row>
        <row r="610">
          <cell r="A610"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4"/>
  </sheetPr>
  <dimension ref="A1:AC33"/>
  <sheetViews>
    <sheetView showGridLines="0" tabSelected="1" zoomScaleNormal="100" zoomScaleSheetLayoutView="100" workbookViewId="0">
      <selection activeCell="R23" sqref="R23"/>
    </sheetView>
  </sheetViews>
  <sheetFormatPr defaultRowHeight="12"/>
  <cols>
    <col min="1" max="23" width="2.625" style="42" customWidth="1"/>
    <col min="24" max="24" width="1.375" style="42" customWidth="1"/>
    <col min="25" max="49" width="2.625" style="42" customWidth="1"/>
    <col min="50" max="16384" width="9" style="42"/>
  </cols>
  <sheetData>
    <row r="1" spans="1:22" s="110" customFormat="1" ht="16.5" customHeight="1">
      <c r="A1" s="182"/>
      <c r="B1" s="1698" t="s">
        <v>1961</v>
      </c>
      <c r="C1" s="1698"/>
      <c r="D1" s="1698"/>
      <c r="E1" s="1698"/>
      <c r="F1" s="1698"/>
      <c r="G1" s="507" t="s">
        <v>336</v>
      </c>
      <c r="J1" s="114"/>
      <c r="K1" s="114"/>
      <c r="L1" s="114"/>
      <c r="M1" s="114"/>
      <c r="N1" s="114"/>
      <c r="O1" s="114"/>
      <c r="P1" s="114"/>
      <c r="Q1" s="114"/>
      <c r="R1" s="114"/>
      <c r="S1" s="1540" t="s">
        <v>5461</v>
      </c>
      <c r="T1" s="114"/>
      <c r="U1" s="114"/>
      <c r="V1" s="114"/>
    </row>
    <row r="2" spans="1:22" s="110" customFormat="1" ht="16.5" hidden="1" customHeight="1">
      <c r="A2" s="1699" t="s">
        <v>1674</v>
      </c>
      <c r="B2" s="1699"/>
      <c r="C2" s="1699"/>
      <c r="D2" s="1699"/>
      <c r="E2" s="1699"/>
      <c r="F2" s="1699"/>
      <c r="G2" s="1700">
        <v>2018.1</v>
      </c>
      <c r="H2" s="1700"/>
      <c r="I2" s="1700"/>
      <c r="J2" s="114"/>
      <c r="K2" s="114"/>
      <c r="L2" s="114"/>
      <c r="M2" s="114"/>
      <c r="N2" s="114"/>
      <c r="O2" s="114"/>
      <c r="P2" s="114"/>
      <c r="Q2" s="114"/>
      <c r="R2" s="114"/>
      <c r="S2" s="114"/>
      <c r="T2" s="114"/>
      <c r="U2" s="114"/>
      <c r="V2" s="114"/>
    </row>
    <row r="3" spans="1:22" s="110" customFormat="1" ht="16.5" customHeight="1">
      <c r="A3" s="561"/>
      <c r="B3" s="561"/>
      <c r="C3" s="561"/>
      <c r="D3" s="561"/>
      <c r="E3" s="561"/>
      <c r="F3" s="561"/>
      <c r="G3" s="507"/>
      <c r="J3" s="114"/>
      <c r="K3" s="114"/>
      <c r="L3" s="114"/>
      <c r="M3" s="114"/>
      <c r="N3" s="114"/>
      <c r="O3" s="114"/>
      <c r="P3" s="114"/>
      <c r="Q3" s="114"/>
      <c r="R3" s="114"/>
      <c r="S3" s="114"/>
      <c r="T3" s="114"/>
      <c r="U3" s="114"/>
      <c r="V3" s="114"/>
    </row>
    <row r="4" spans="1:22" ht="13.5" customHeight="1">
      <c r="B4" s="111" t="s">
        <v>743</v>
      </c>
    </row>
    <row r="5" spans="1:22" ht="12" customHeight="1">
      <c r="B5" s="42" t="s">
        <v>194</v>
      </c>
    </row>
    <row r="6" spans="1:22" ht="5.0999999999999996" customHeight="1"/>
    <row r="7" spans="1:22">
      <c r="B7" s="42" t="s">
        <v>118</v>
      </c>
    </row>
    <row r="8" spans="1:22" ht="13.5" customHeight="1">
      <c r="C8" s="78" t="s">
        <v>119</v>
      </c>
      <c r="D8" s="83" t="s">
        <v>120</v>
      </c>
      <c r="E8" s="42" t="s">
        <v>121</v>
      </c>
    </row>
    <row r="9" spans="1:22" ht="13.5" customHeight="1">
      <c r="C9" s="78"/>
      <c r="D9" s="83"/>
      <c r="E9" s="42" t="s">
        <v>861</v>
      </c>
    </row>
    <row r="10" spans="1:22" ht="13.5" customHeight="1">
      <c r="C10" s="78" t="s">
        <v>862</v>
      </c>
      <c r="D10" s="83" t="s">
        <v>120</v>
      </c>
      <c r="E10" s="42" t="s">
        <v>742</v>
      </c>
    </row>
    <row r="11" spans="1:22" ht="13.5" customHeight="1">
      <c r="C11" s="191" t="s">
        <v>1662</v>
      </c>
    </row>
    <row r="12" spans="1:22" ht="5.0999999999999996" customHeight="1"/>
    <row r="13" spans="1:22" ht="12" customHeight="1"/>
    <row r="14" spans="1:22" ht="13.5" customHeight="1">
      <c r="B14" s="42" t="s">
        <v>407</v>
      </c>
    </row>
    <row r="15" spans="1:22">
      <c r="C15" s="42" t="s">
        <v>408</v>
      </c>
    </row>
    <row r="17" spans="2:29">
      <c r="Q17" s="110"/>
      <c r="R17" s="116"/>
    </row>
    <row r="21" spans="2:29">
      <c r="B21" s="1204"/>
      <c r="C21" s="1204"/>
      <c r="D21" s="1204"/>
      <c r="E21" s="1205"/>
      <c r="F21" s="1205"/>
      <c r="G21" s="1205"/>
      <c r="H21" s="1205"/>
      <c r="I21" s="1204"/>
      <c r="J21" s="1204"/>
      <c r="K21" s="1204"/>
      <c r="L21" s="1204"/>
      <c r="M21" s="1204"/>
      <c r="N21" s="1204"/>
      <c r="O21" s="1204"/>
      <c r="P21" s="1204"/>
      <c r="Q21" s="1204"/>
      <c r="R21" s="1204"/>
      <c r="S21" s="1204"/>
      <c r="T21" s="1204"/>
      <c r="U21" s="1204"/>
      <c r="V21" s="1204"/>
      <c r="W21" s="1204"/>
      <c r="X21" s="1203"/>
      <c r="Y21" s="1204"/>
      <c r="Z21" s="1204"/>
    </row>
    <row r="22" spans="2:29">
      <c r="B22" s="1541" t="s">
        <v>1962</v>
      </c>
      <c r="C22" s="1541"/>
      <c r="D22" s="1541"/>
      <c r="E22" s="115"/>
      <c r="F22" s="115"/>
      <c r="G22" s="115"/>
      <c r="H22" s="115"/>
      <c r="I22" s="1533"/>
      <c r="J22" s="1533"/>
      <c r="K22" s="1533"/>
      <c r="L22" s="1533"/>
      <c r="M22" s="1533"/>
      <c r="N22" s="1533"/>
      <c r="O22" s="1533"/>
      <c r="P22" s="1533"/>
      <c r="Q22" s="1533"/>
      <c r="R22" s="1533"/>
      <c r="S22" s="1533"/>
      <c r="T22" s="1533"/>
      <c r="U22" s="1533"/>
      <c r="V22" s="1533"/>
      <c r="W22" s="1533"/>
      <c r="X22" s="110"/>
      <c r="Y22" s="1533"/>
      <c r="Z22" s="1533"/>
      <c r="AA22" s="1533"/>
      <c r="AB22" s="1533"/>
      <c r="AC22" s="1533"/>
    </row>
    <row r="23" spans="2:29">
      <c r="B23" s="1541" t="s">
        <v>1963</v>
      </c>
      <c r="C23" s="1541"/>
      <c r="D23" s="1541"/>
      <c r="E23" s="115"/>
      <c r="F23" s="115"/>
      <c r="G23" s="115"/>
      <c r="H23" s="115"/>
      <c r="I23" s="1533"/>
      <c r="J23" s="1533"/>
      <c r="K23" s="1533"/>
      <c r="L23" s="1533"/>
      <c r="M23" s="1533"/>
      <c r="N23" s="1533"/>
      <c r="O23" s="1533"/>
      <c r="P23" s="1533"/>
      <c r="Q23" s="1533"/>
      <c r="R23" s="1533"/>
      <c r="S23" s="1533"/>
      <c r="T23" s="1533"/>
      <c r="U23" s="1533"/>
      <c r="V23" s="1533"/>
      <c r="W23" s="1533"/>
      <c r="X23" s="110"/>
      <c r="Y23" s="1533"/>
      <c r="Z23" s="1533"/>
      <c r="AA23" s="1533"/>
      <c r="AB23" s="1533"/>
      <c r="AC23" s="1533"/>
    </row>
    <row r="24" spans="2:29">
      <c r="B24" s="1206"/>
      <c r="C24" s="1206"/>
      <c r="D24" s="1206"/>
      <c r="E24" s="1205"/>
      <c r="F24" s="1205"/>
      <c r="G24" s="1205"/>
      <c r="H24" s="1205"/>
      <c r="I24" s="1204"/>
      <c r="J24" s="1204"/>
      <c r="K24" s="1204"/>
      <c r="L24" s="1204"/>
      <c r="M24" s="1204"/>
      <c r="N24" s="1204"/>
      <c r="O24" s="1204"/>
      <c r="P24" s="1204"/>
      <c r="Q24" s="1204"/>
      <c r="R24" s="1204"/>
      <c r="S24" s="1204"/>
      <c r="T24" s="1204"/>
      <c r="U24" s="1204"/>
      <c r="V24" s="1204"/>
      <c r="W24" s="1204"/>
      <c r="X24" s="1203"/>
      <c r="Y24" s="1204"/>
      <c r="Z24" s="1204"/>
    </row>
    <row r="25" spans="2:29">
      <c r="B25" s="1204"/>
      <c r="C25" s="1204"/>
      <c r="D25" s="1204"/>
      <c r="E25" s="1205"/>
      <c r="F25" s="1205"/>
      <c r="G25" s="1205"/>
      <c r="H25" s="1205"/>
      <c r="I25" s="1204"/>
      <c r="J25" s="1204"/>
      <c r="K25" s="1204"/>
      <c r="L25" s="1204"/>
      <c r="M25" s="1204"/>
      <c r="N25" s="1204"/>
      <c r="O25" s="1204"/>
      <c r="P25" s="1204"/>
      <c r="Q25" s="1204"/>
      <c r="R25" s="1204"/>
      <c r="S25" s="1204"/>
      <c r="T25" s="1204"/>
      <c r="U25" s="1204"/>
      <c r="V25" s="1204"/>
      <c r="W25" s="1204"/>
      <c r="X25" s="1203"/>
      <c r="Y25" s="1204"/>
      <c r="Z25" s="1204"/>
    </row>
    <row r="26" spans="2:29">
      <c r="E26" s="115"/>
      <c r="F26" s="115"/>
      <c r="G26" s="115"/>
      <c r="H26" s="115"/>
      <c r="X26" s="110"/>
    </row>
    <row r="27" spans="2:29">
      <c r="E27" s="115"/>
      <c r="F27" s="115"/>
      <c r="G27" s="115"/>
      <c r="H27" s="115"/>
      <c r="X27" s="110"/>
    </row>
    <row r="31" spans="2:29">
      <c r="C31" s="110"/>
      <c r="D31" s="116"/>
      <c r="I31" s="83"/>
      <c r="X31" s="116"/>
    </row>
    <row r="32" spans="2:29" ht="13.5" customHeight="1">
      <c r="C32" s="110"/>
      <c r="D32" s="116"/>
      <c r="I32" s="83"/>
    </row>
    <row r="33" spans="3:9">
      <c r="C33" s="110"/>
      <c r="I33" s="83"/>
    </row>
  </sheetData>
  <sheetProtection algorithmName="SHA-512" hashValue="JpjAlYVUF3R2/WAOLMIc0rf8FyUz+3+94KnFrc1+Y5H2P8eZLSaz5EoMzCsn6OeZ6x5nPPt+KEt0zt2Gypmk/w==" saltValue="1iVbnieGFq7qMDHBRGHTPw==" spinCount="100000" sheet="1" objects="1" scenarios="1"/>
  <mergeCells count="3">
    <mergeCell ref="B1:F1"/>
    <mergeCell ref="A2:F2"/>
    <mergeCell ref="G2:I2"/>
  </mergeCells>
  <phoneticPr fontId="4"/>
  <printOptions horizontalCentered="1"/>
  <pageMargins left="0.78740157480314965" right="0.78740157480314965" top="0.59055118110236227" bottom="0.98425196850393704"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9FE4-B37C-415E-ABAA-896C21AB703C}">
  <sheetPr>
    <tabColor rgb="FF99CCFF"/>
  </sheetPr>
  <dimension ref="A1:L36"/>
  <sheetViews>
    <sheetView showGridLines="0" topLeftCell="A2" zoomScaleNormal="100" zoomScaleSheetLayoutView="100" workbookViewId="0"/>
  </sheetViews>
  <sheetFormatPr defaultRowHeight="13.5"/>
  <cols>
    <col min="1" max="1" width="4.375" style="1250" customWidth="1"/>
    <col min="2" max="2" width="4.75" style="1250" customWidth="1"/>
    <col min="3" max="3" width="16.25" style="1248" customWidth="1"/>
    <col min="4" max="4" width="58.75" style="1248" bestFit="1" customWidth="1"/>
    <col min="5" max="5" width="5.625" style="1248" customWidth="1"/>
    <col min="6" max="6" width="28.625" style="1248" customWidth="1"/>
    <col min="7" max="7" width="5" style="1248" bestFit="1" customWidth="1"/>
    <col min="8" max="8" width="32.875" style="1248" customWidth="1"/>
    <col min="9" max="9" width="4.125" style="1248" customWidth="1"/>
    <col min="10" max="10" width="19.625" style="1248" customWidth="1"/>
    <col min="11" max="12" width="9" style="1248"/>
    <col min="13" max="16384" width="9" style="1250"/>
  </cols>
  <sheetData>
    <row r="1" spans="1:12" ht="20.25" hidden="1" customHeight="1">
      <c r="A1" s="604" t="s">
        <v>119</v>
      </c>
      <c r="B1" s="604">
        <f>COUNTIF(E9:E35,"※")</f>
        <v>5</v>
      </c>
      <c r="C1" s="605" t="s">
        <v>535</v>
      </c>
      <c r="D1" s="604">
        <f>COUNTIF(E9:E35,"E")</f>
        <v>0</v>
      </c>
      <c r="G1" s="1533"/>
      <c r="H1" s="1533"/>
      <c r="I1" s="1249"/>
      <c r="J1" s="1533"/>
    </row>
    <row r="2" spans="1:12" ht="15.75" customHeight="1">
      <c r="A2" s="1533"/>
      <c r="B2" s="1533"/>
      <c r="C2" s="1533"/>
      <c r="D2" s="1533"/>
      <c r="E2" s="1533"/>
      <c r="F2" s="1533"/>
      <c r="G2" s="1533"/>
      <c r="H2" s="1533"/>
      <c r="I2" s="1533"/>
      <c r="J2" s="1533"/>
    </row>
    <row r="3" spans="1:12" ht="24" customHeight="1">
      <c r="A3" s="1716" t="s">
        <v>602</v>
      </c>
      <c r="B3" s="1904"/>
      <c r="C3" s="1798"/>
      <c r="D3" s="1905" t="str">
        <f>IF(工事情報!G4="","",工事情報!G4)</f>
        <v/>
      </c>
      <c r="E3" s="1906"/>
      <c r="F3" s="1906"/>
      <c r="G3" s="1907"/>
      <c r="H3" s="1532"/>
      <c r="I3" s="1532"/>
    </row>
    <row r="4" spans="1:12" ht="30" customHeight="1"/>
    <row r="5" spans="1:12">
      <c r="A5" s="1251"/>
      <c r="B5" s="1624" t="s">
        <v>5372</v>
      </c>
      <c r="C5" s="1253"/>
      <c r="D5" s="1253"/>
      <c r="E5" s="1253"/>
      <c r="F5" s="1253"/>
      <c r="G5" s="1253"/>
    </row>
    <row r="6" spans="1:12">
      <c r="A6" s="1625"/>
      <c r="B6" s="1255" t="s">
        <v>5373</v>
      </c>
      <c r="C6" s="1253"/>
      <c r="D6" s="1253"/>
      <c r="E6" s="1253"/>
      <c r="F6" s="1253"/>
      <c r="G6" s="1253"/>
    </row>
    <row r="7" spans="1:12">
      <c r="A7" s="1251"/>
      <c r="B7" s="1256"/>
      <c r="C7" s="1257"/>
      <c r="D7" s="1257"/>
      <c r="E7" s="1257"/>
      <c r="F7" s="1257"/>
      <c r="G7" s="1257"/>
    </row>
    <row r="8" spans="1:12">
      <c r="A8" s="1251"/>
      <c r="B8" s="1915" t="s">
        <v>1692</v>
      </c>
      <c r="C8" s="1916"/>
      <c r="D8" s="1626" t="s">
        <v>5374</v>
      </c>
      <c r="E8" s="1915" t="s">
        <v>5375</v>
      </c>
      <c r="F8" s="1916"/>
      <c r="G8" s="1257"/>
    </row>
    <row r="9" spans="1:12" ht="18" customHeight="1">
      <c r="A9" s="1279"/>
      <c r="B9" s="1627">
        <v>1</v>
      </c>
      <c r="C9" s="1628" t="s">
        <v>5376</v>
      </c>
      <c r="D9" s="1313" t="s">
        <v>5377</v>
      </c>
      <c r="E9" s="1629" t="str">
        <f>IF(F9="","※","")</f>
        <v>※</v>
      </c>
      <c r="F9" s="1296"/>
      <c r="G9" s="1272" t="s">
        <v>1922</v>
      </c>
      <c r="H9" s="1290"/>
      <c r="I9" s="1283"/>
      <c r="K9" s="1250"/>
      <c r="L9" s="1250"/>
    </row>
    <row r="10" spans="1:12" ht="18" customHeight="1">
      <c r="B10" s="1291"/>
      <c r="C10" s="1292"/>
      <c r="D10" s="1298" t="s">
        <v>5378</v>
      </c>
      <c r="E10" s="1630" t="str">
        <f>IF(F10="","※","")</f>
        <v>※</v>
      </c>
      <c r="F10" s="1300"/>
      <c r="G10" s="1272" t="s">
        <v>1922</v>
      </c>
      <c r="H10" s="1301"/>
      <c r="K10" s="1250"/>
      <c r="L10" s="1250"/>
    </row>
    <row r="11" spans="1:12" ht="18" customHeight="1">
      <c r="B11" s="1291"/>
      <c r="C11" s="1631" t="s">
        <v>1923</v>
      </c>
      <c r="D11" s="1306"/>
      <c r="E11" s="1630" t="str">
        <f>IF(D11="","",IF(F11="","※",""))</f>
        <v/>
      </c>
      <c r="F11" s="1300"/>
      <c r="G11" s="1272" t="s">
        <v>1922</v>
      </c>
      <c r="H11" s="1307"/>
      <c r="K11" s="1250"/>
      <c r="L11" s="1250"/>
    </row>
    <row r="12" spans="1:12" ht="18" customHeight="1">
      <c r="B12" s="1291"/>
      <c r="C12" s="1631" t="s">
        <v>1923</v>
      </c>
      <c r="D12" s="1306"/>
      <c r="E12" s="1630" t="str">
        <f t="shared" ref="E12:E15" si="0">IF(D12="","",IF(F12="","※",""))</f>
        <v/>
      </c>
      <c r="F12" s="1300"/>
      <c r="G12" s="1272" t="s">
        <v>1922</v>
      </c>
      <c r="H12" s="1307"/>
      <c r="K12" s="1250"/>
      <c r="L12" s="1250"/>
    </row>
    <row r="13" spans="1:12" ht="18" customHeight="1">
      <c r="B13" s="1291"/>
      <c r="C13" s="1631" t="s">
        <v>1923</v>
      </c>
      <c r="D13" s="1306"/>
      <c r="E13" s="1630" t="str">
        <f t="shared" si="0"/>
        <v/>
      </c>
      <c r="F13" s="1300"/>
      <c r="G13" s="1272" t="s">
        <v>1922</v>
      </c>
      <c r="K13" s="1250"/>
    </row>
    <row r="14" spans="1:12" ht="18" customHeight="1">
      <c r="B14" s="1291"/>
      <c r="C14" s="1631" t="s">
        <v>1923</v>
      </c>
      <c r="D14" s="1306"/>
      <c r="E14" s="1630" t="str">
        <f>IF(D14="","",IF(F14="","※",""))</f>
        <v/>
      </c>
      <c r="F14" s="1300"/>
      <c r="G14" s="1272" t="s">
        <v>1922</v>
      </c>
      <c r="K14" s="1250"/>
    </row>
    <row r="15" spans="1:12" ht="18" customHeight="1">
      <c r="B15" s="1291"/>
      <c r="C15" s="1631" t="s">
        <v>1923</v>
      </c>
      <c r="D15" s="1306"/>
      <c r="E15" s="1630" t="str">
        <f t="shared" si="0"/>
        <v/>
      </c>
      <c r="F15" s="1300"/>
      <c r="G15" s="1272" t="s">
        <v>1922</v>
      </c>
      <c r="K15" s="1250"/>
    </row>
    <row r="16" spans="1:12" ht="18" customHeight="1">
      <c r="B16" s="1291"/>
      <c r="C16" s="1631" t="s">
        <v>1923</v>
      </c>
      <c r="D16" s="1306"/>
      <c r="E16" s="1630" t="str">
        <f>IF(D16="","",IF(F16="","※",""))</f>
        <v/>
      </c>
      <c r="F16" s="1300"/>
      <c r="G16" s="1272" t="s">
        <v>1922</v>
      </c>
      <c r="K16" s="1250"/>
    </row>
    <row r="17" spans="1:12" ht="18" customHeight="1">
      <c r="B17" s="1291"/>
      <c r="C17" s="1631" t="s">
        <v>1923</v>
      </c>
      <c r="D17" s="1306"/>
      <c r="E17" s="1630" t="str">
        <f t="shared" ref="E17:E20" si="1">IF(D17="","",IF(F17="","※",""))</f>
        <v/>
      </c>
      <c r="F17" s="1300"/>
      <c r="G17" s="1272" t="s">
        <v>1922</v>
      </c>
      <c r="H17" s="1307"/>
      <c r="K17" s="1250"/>
      <c r="L17" s="1250"/>
    </row>
    <row r="18" spans="1:12" ht="18" customHeight="1">
      <c r="B18" s="1291"/>
      <c r="C18" s="1631" t="s">
        <v>1923</v>
      </c>
      <c r="D18" s="1306"/>
      <c r="E18" s="1630" t="str">
        <f t="shared" si="1"/>
        <v/>
      </c>
      <c r="F18" s="1300"/>
      <c r="G18" s="1272" t="s">
        <v>1922</v>
      </c>
      <c r="K18" s="1250"/>
    </row>
    <row r="19" spans="1:12" ht="18" customHeight="1">
      <c r="B19" s="1291"/>
      <c r="C19" s="1631" t="s">
        <v>1923</v>
      </c>
      <c r="D19" s="1306"/>
      <c r="E19" s="1630" t="str">
        <f t="shared" si="1"/>
        <v/>
      </c>
      <c r="F19" s="1300"/>
      <c r="G19" s="1272" t="s">
        <v>1922</v>
      </c>
      <c r="K19" s="1250"/>
    </row>
    <row r="20" spans="1:12" ht="18" customHeight="1">
      <c r="B20" s="1291"/>
      <c r="C20" s="1631" t="s">
        <v>1923</v>
      </c>
      <c r="D20" s="1632"/>
      <c r="E20" s="1633" t="str">
        <f t="shared" si="1"/>
        <v/>
      </c>
      <c r="F20" s="1634"/>
      <c r="G20" s="1272" t="s">
        <v>1922</v>
      </c>
    </row>
    <row r="21" spans="1:12" ht="18" customHeight="1">
      <c r="B21" s="1320"/>
      <c r="C21" s="1321"/>
      <c r="D21" s="1320"/>
      <c r="E21" s="1626" t="s">
        <v>992</v>
      </c>
      <c r="F21" s="1635">
        <f>SUM(F9:F20)</f>
        <v>0</v>
      </c>
      <c r="G21" s="1272" t="s">
        <v>1922</v>
      </c>
    </row>
    <row r="22" spans="1:12" ht="18" customHeight="1">
      <c r="A22" s="1279"/>
      <c r="B22" s="1627">
        <v>2</v>
      </c>
      <c r="C22" s="1628" t="s">
        <v>5379</v>
      </c>
      <c r="D22" s="1636" t="s">
        <v>5380</v>
      </c>
      <c r="E22" s="1629" t="str">
        <f>IF(F22="","※","")</f>
        <v>※</v>
      </c>
      <c r="F22" s="1296"/>
      <c r="G22" s="1272" t="s">
        <v>1922</v>
      </c>
      <c r="H22" s="1290"/>
      <c r="I22" s="1283"/>
      <c r="K22" s="1250"/>
      <c r="L22" s="1250"/>
    </row>
    <row r="23" spans="1:12" ht="18" customHeight="1">
      <c r="B23" s="1291"/>
      <c r="C23" s="1292"/>
      <c r="D23" s="1298" t="s">
        <v>5381</v>
      </c>
      <c r="E23" s="1630" t="str">
        <f t="shared" ref="E23:E24" si="2">IF(F23="","※","")</f>
        <v>※</v>
      </c>
      <c r="F23" s="1300"/>
      <c r="G23" s="1272" t="s">
        <v>1922</v>
      </c>
      <c r="H23" s="1301"/>
      <c r="K23" s="1250"/>
      <c r="L23" s="1250"/>
    </row>
    <row r="24" spans="1:12" ht="18" customHeight="1">
      <c r="B24" s="1291"/>
      <c r="C24" s="1292"/>
      <c r="D24" s="1298" t="s">
        <v>5382</v>
      </c>
      <c r="E24" s="1630" t="str">
        <f t="shared" si="2"/>
        <v>※</v>
      </c>
      <c r="F24" s="1300"/>
      <c r="G24" s="1272" t="s">
        <v>1922</v>
      </c>
      <c r="H24" s="1301"/>
      <c r="K24" s="1250"/>
      <c r="L24" s="1250"/>
    </row>
    <row r="25" spans="1:12" ht="18" customHeight="1">
      <c r="B25" s="1291"/>
      <c r="C25" s="1631" t="s">
        <v>1923</v>
      </c>
      <c r="D25" s="1306"/>
      <c r="E25" s="1630" t="str">
        <f t="shared" ref="E25:E29" si="3">IF(D25="","",IF(F25="","※",""))</f>
        <v/>
      </c>
      <c r="F25" s="1300"/>
      <c r="G25" s="1272" t="s">
        <v>1922</v>
      </c>
      <c r="H25" s="1307"/>
      <c r="K25" s="1250"/>
      <c r="L25" s="1250"/>
    </row>
    <row r="26" spans="1:12" ht="18" customHeight="1">
      <c r="B26" s="1291"/>
      <c r="C26" s="1631" t="s">
        <v>1923</v>
      </c>
      <c r="D26" s="1306"/>
      <c r="E26" s="1630" t="str">
        <f t="shared" si="3"/>
        <v/>
      </c>
      <c r="F26" s="1300"/>
      <c r="G26" s="1272" t="s">
        <v>1922</v>
      </c>
      <c r="H26" s="1307"/>
      <c r="K26" s="1250"/>
      <c r="L26" s="1250"/>
    </row>
    <row r="27" spans="1:12" ht="18" customHeight="1">
      <c r="B27" s="1291"/>
      <c r="C27" s="1631" t="s">
        <v>1923</v>
      </c>
      <c r="D27" s="1306"/>
      <c r="E27" s="1630" t="str">
        <f t="shared" si="3"/>
        <v/>
      </c>
      <c r="F27" s="1300"/>
      <c r="G27" s="1272" t="s">
        <v>1922</v>
      </c>
      <c r="K27" s="1250"/>
    </row>
    <row r="28" spans="1:12" ht="18" customHeight="1">
      <c r="B28" s="1291"/>
      <c r="C28" s="1631" t="s">
        <v>1923</v>
      </c>
      <c r="D28" s="1306"/>
      <c r="E28" s="1630" t="str">
        <f t="shared" si="3"/>
        <v/>
      </c>
      <c r="F28" s="1300"/>
      <c r="G28" s="1272" t="s">
        <v>1922</v>
      </c>
      <c r="H28" s="1307"/>
      <c r="K28" s="1250"/>
      <c r="L28" s="1250"/>
    </row>
    <row r="29" spans="1:12" ht="18" customHeight="1">
      <c r="B29" s="1291"/>
      <c r="C29" s="1631" t="s">
        <v>1923</v>
      </c>
      <c r="D29" s="1306"/>
      <c r="E29" s="1630" t="str">
        <f t="shared" si="3"/>
        <v/>
      </c>
      <c r="F29" s="1300"/>
      <c r="G29" s="1272" t="s">
        <v>1922</v>
      </c>
      <c r="H29" s="1307"/>
      <c r="K29" s="1250"/>
      <c r="L29" s="1250"/>
    </row>
    <row r="30" spans="1:12" ht="18" customHeight="1">
      <c r="B30" s="1291"/>
      <c r="C30" s="1631" t="s">
        <v>1923</v>
      </c>
      <c r="D30" s="1306"/>
      <c r="E30" s="1630" t="str">
        <f t="shared" ref="E30:E34" si="4">IF(D30="","",IF(F30="","※",""))</f>
        <v/>
      </c>
      <c r="F30" s="1300"/>
      <c r="G30" s="1272" t="s">
        <v>1922</v>
      </c>
      <c r="H30" s="1307"/>
      <c r="K30" s="1250"/>
      <c r="L30" s="1250"/>
    </row>
    <row r="31" spans="1:12" ht="18" customHeight="1">
      <c r="B31" s="1291"/>
      <c r="C31" s="1631" t="s">
        <v>1923</v>
      </c>
      <c r="D31" s="1306"/>
      <c r="E31" s="1630" t="str">
        <f t="shared" si="4"/>
        <v/>
      </c>
      <c r="F31" s="1300"/>
      <c r="G31" s="1272" t="s">
        <v>1922</v>
      </c>
      <c r="H31" s="1307"/>
      <c r="K31" s="1250"/>
      <c r="L31" s="1250"/>
    </row>
    <row r="32" spans="1:12" ht="18" customHeight="1">
      <c r="B32" s="1291"/>
      <c r="C32" s="1631" t="s">
        <v>1923</v>
      </c>
      <c r="D32" s="1306"/>
      <c r="E32" s="1630" t="str">
        <f t="shared" si="4"/>
        <v/>
      </c>
      <c r="F32" s="1300"/>
      <c r="G32" s="1272" t="s">
        <v>1922</v>
      </c>
      <c r="K32" s="1250"/>
    </row>
    <row r="33" spans="1:11" ht="18" customHeight="1">
      <c r="B33" s="1291"/>
      <c r="C33" s="1631" t="s">
        <v>1923</v>
      </c>
      <c r="D33" s="1306"/>
      <c r="E33" s="1630" t="str">
        <f t="shared" si="4"/>
        <v/>
      </c>
      <c r="F33" s="1300"/>
      <c r="G33" s="1272" t="s">
        <v>1922</v>
      </c>
      <c r="K33" s="1250"/>
    </row>
    <row r="34" spans="1:11" ht="18" customHeight="1">
      <c r="B34" s="1291"/>
      <c r="C34" s="1631" t="s">
        <v>1923</v>
      </c>
      <c r="D34" s="1632"/>
      <c r="E34" s="1633" t="str">
        <f t="shared" si="4"/>
        <v/>
      </c>
      <c r="F34" s="1634"/>
      <c r="G34" s="1272" t="s">
        <v>1922</v>
      </c>
    </row>
    <row r="35" spans="1:11" ht="18" customHeight="1">
      <c r="B35" s="1320"/>
      <c r="C35" s="1321"/>
      <c r="D35" s="1320"/>
      <c r="E35" s="1637" t="s">
        <v>992</v>
      </c>
      <c r="F35" s="1635">
        <f>SUM(F22:F34)</f>
        <v>0</v>
      </c>
      <c r="G35" s="1272" t="s">
        <v>1922</v>
      </c>
    </row>
    <row r="36" spans="1:11" s="1248" customFormat="1" ht="18" customHeight="1">
      <c r="A36" s="1250"/>
      <c r="B36" s="1256"/>
      <c r="C36" s="1257"/>
      <c r="D36" s="1257"/>
      <c r="E36" s="1257"/>
      <c r="F36" s="1257"/>
      <c r="G36" s="1257"/>
    </row>
  </sheetData>
  <sheetProtection algorithmName="SHA-512" hashValue="U1YrbKSa+Pxe5hQVyjv1OP8FRkVAeeGFBnbhO/ligyvD4koGkUI0nzwI9KQLKxfcsR+ozKpu/yICuNUNNZ2bwA==" saltValue="3VhJnyqaOs+Fi58OMXmkFw==" spinCount="100000" sheet="1" objects="1" scenarios="1"/>
  <mergeCells count="4">
    <mergeCell ref="A3:C3"/>
    <mergeCell ref="D3:G3"/>
    <mergeCell ref="B8:C8"/>
    <mergeCell ref="E8:F8"/>
  </mergeCells>
  <phoneticPr fontId="5"/>
  <dataValidations count="2">
    <dataValidation type="whole" allowBlank="1" showInputMessage="1" showErrorMessage="1" sqref="F9:F20 F22:F34" xr:uid="{9E283D35-9EAE-49F0-9A81-A70F90FFC022}">
      <formula1>0</formula1>
      <formula2>999999</formula2>
    </dataValidation>
    <dataValidation type="custom" allowBlank="1" showInputMessage="1" showErrorMessage="1" sqref="J9:J12 J16:J17 J22:J26 J30:J31" xr:uid="{AA259B89-59C5-43DE-80CA-B72472B78904}">
      <formula1>TRIM(J9)&lt;&gt;""</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99CCFF"/>
    <pageSetUpPr fitToPage="1"/>
  </sheetPr>
  <dimension ref="A1:T67"/>
  <sheetViews>
    <sheetView showGridLines="0" topLeftCell="A2" zoomScaleNormal="100" zoomScaleSheetLayoutView="85" workbookViewId="0"/>
  </sheetViews>
  <sheetFormatPr defaultRowHeight="13.5"/>
  <cols>
    <col min="1" max="1" width="1.75" style="131" customWidth="1"/>
    <col min="2" max="2" width="2.625" style="131" customWidth="1"/>
    <col min="3" max="3" width="10.625" style="131" customWidth="1"/>
    <col min="4" max="4" width="3.75" style="131" customWidth="1"/>
    <col min="5" max="5" width="10.625" style="131" customWidth="1"/>
    <col min="6" max="6" width="3" style="131" customWidth="1"/>
    <col min="7" max="7" width="10.625" style="131" customWidth="1"/>
    <col min="8" max="8" width="4.75" style="131" customWidth="1"/>
    <col min="9" max="9" width="9" style="131"/>
    <col min="10" max="10" width="8.625" style="131" customWidth="1"/>
    <col min="11" max="11" width="36.5" style="131" customWidth="1"/>
    <col min="12" max="12" width="27.125" style="131" customWidth="1"/>
    <col min="13" max="13" width="12.375" style="131" customWidth="1"/>
    <col min="14" max="19" width="12.375" style="131" hidden="1" customWidth="1"/>
    <col min="20" max="20" width="9" style="131" customWidth="1"/>
    <col min="21" max="16384" width="9" style="131"/>
  </cols>
  <sheetData>
    <row r="1" spans="1:20" ht="18.75" hidden="1" customHeight="1">
      <c r="A1" s="604" t="s">
        <v>534</v>
      </c>
      <c r="B1" s="604">
        <f>SUM(G37:G50)</f>
        <v>135</v>
      </c>
      <c r="C1" s="605" t="s">
        <v>535</v>
      </c>
      <c r="D1" s="604">
        <f>SUM(I37:I50)</f>
        <v>0</v>
      </c>
    </row>
    <row r="2" spans="1:20" ht="27" customHeight="1">
      <c r="M2" s="1641"/>
      <c r="T2" s="1641"/>
    </row>
    <row r="3" spans="1:20" ht="24" customHeight="1">
      <c r="B3" s="287" t="s">
        <v>602</v>
      </c>
      <c r="C3" s="288"/>
      <c r="D3" s="289"/>
      <c r="E3" s="1955" t="str">
        <f>IF(工事情報!G4="","",工事情報!G4)</f>
        <v/>
      </c>
      <c r="F3" s="1956"/>
      <c r="G3" s="1956"/>
      <c r="H3" s="1956"/>
      <c r="I3" s="1956"/>
      <c r="J3" s="1957"/>
    </row>
    <row r="4" spans="1:20" ht="30" customHeight="1"/>
    <row r="5" spans="1:20" ht="9.75" customHeight="1">
      <c r="C5" s="154"/>
      <c r="L5" s="856"/>
    </row>
    <row r="6" spans="1:20" ht="9.75" customHeight="1">
      <c r="K6" s="1942" t="s">
        <v>1072</v>
      </c>
      <c r="L6" s="1943"/>
    </row>
    <row r="7" spans="1:20" ht="20.100000000000001" customHeight="1">
      <c r="B7" s="277" t="s">
        <v>1073</v>
      </c>
      <c r="C7" s="154"/>
      <c r="D7" s="857"/>
      <c r="E7" s="857"/>
      <c r="F7" s="857"/>
      <c r="G7" s="857"/>
      <c r="H7" s="857"/>
      <c r="I7" s="857"/>
      <c r="J7" s="857"/>
      <c r="K7" s="1944"/>
      <c r="L7" s="1945"/>
    </row>
    <row r="8" spans="1:20" ht="15.75" customHeight="1">
      <c r="B8" s="858" t="s">
        <v>1074</v>
      </c>
      <c r="C8" s="191"/>
      <c r="D8" s="857"/>
      <c r="E8" s="857"/>
      <c r="F8" s="857"/>
      <c r="G8" s="857"/>
      <c r="H8" s="857"/>
      <c r="I8" s="857"/>
      <c r="J8" s="857"/>
      <c r="K8" s="857"/>
      <c r="L8" s="857"/>
    </row>
    <row r="9" spans="1:20" ht="15.75" customHeight="1">
      <c r="B9" s="858" t="s">
        <v>1075</v>
      </c>
      <c r="C9" s="191"/>
      <c r="D9" s="857"/>
      <c r="E9" s="857"/>
      <c r="F9" s="857"/>
      <c r="G9" s="857"/>
      <c r="H9" s="857"/>
      <c r="I9" s="857"/>
      <c r="J9" s="857"/>
      <c r="K9" s="857"/>
      <c r="L9" s="857"/>
    </row>
    <row r="10" spans="1:20" ht="15.75" customHeight="1">
      <c r="B10" s="858" t="s">
        <v>1076</v>
      </c>
      <c r="C10" s="191"/>
      <c r="D10" s="857"/>
      <c r="E10" s="857"/>
      <c r="F10" s="857"/>
      <c r="G10" s="857"/>
      <c r="H10" s="857"/>
      <c r="I10" s="857"/>
      <c r="J10" s="857"/>
      <c r="K10" s="857"/>
      <c r="L10" s="857"/>
    </row>
    <row r="11" spans="1:20" ht="15.75" customHeight="1">
      <c r="A11" s="859"/>
      <c r="B11" s="858" t="s">
        <v>1077</v>
      </c>
      <c r="C11" s="191"/>
      <c r="D11" s="857"/>
      <c r="E11" s="857"/>
      <c r="F11" s="857"/>
      <c r="G11" s="857"/>
      <c r="H11" s="857"/>
      <c r="I11" s="857"/>
      <c r="J11" s="857"/>
      <c r="K11" s="857"/>
      <c r="L11" s="857"/>
    </row>
    <row r="12" spans="1:20" s="154" customFormat="1" ht="27" customHeight="1">
      <c r="B12" s="1772" t="s">
        <v>661</v>
      </c>
      <c r="C12" s="1946"/>
      <c r="D12" s="1946"/>
      <c r="E12" s="1773"/>
      <c r="F12" s="1947" t="s">
        <v>1078</v>
      </c>
      <c r="G12" s="1924"/>
      <c r="H12" s="1947" t="s">
        <v>1079</v>
      </c>
      <c r="I12" s="1924"/>
      <c r="J12" s="860" t="s">
        <v>1080</v>
      </c>
      <c r="K12" s="860" t="s">
        <v>1081</v>
      </c>
      <c r="L12" s="861" t="s">
        <v>1082</v>
      </c>
      <c r="O12" s="862"/>
    </row>
    <row r="13" spans="1:20" s="154" customFormat="1" ht="69" customHeight="1">
      <c r="B13" s="1948" t="s">
        <v>1083</v>
      </c>
      <c r="C13" s="1949"/>
      <c r="D13" s="1949"/>
      <c r="E13" s="1950"/>
      <c r="F13" s="1951">
        <f>工事費!J65</f>
        <v>0</v>
      </c>
      <c r="G13" s="1952"/>
      <c r="H13" s="1953">
        <f>工事費!J66</f>
        <v>0</v>
      </c>
      <c r="I13" s="1954"/>
      <c r="J13" s="863" t="str">
        <f>IF(L13&lt;&gt;"","OK",IF(OR(F13="",H13=0)=TRUE,"エラー",IF(ABS(F13-H13)&gt;=10,"エラー","OK")))</f>
        <v>エラー</v>
      </c>
      <c r="K13" s="864" t="str">
        <f>IF(F13="",N13,IF(F13=0,O13,IF(ABS(F13-H13)&gt;=10,P13,"")))</f>
        <v>共通仮設費積算対象金額が「0」です。
「工事費」シートで金額を入力してください。</v>
      </c>
      <c r="L13" s="865"/>
      <c r="N13" s="866" t="s">
        <v>1084</v>
      </c>
      <c r="O13" s="866" t="s">
        <v>1085</v>
      </c>
      <c r="P13" s="867" t="s">
        <v>1686</v>
      </c>
    </row>
    <row r="14" spans="1:20" s="154" customFormat="1" ht="69" customHeight="1">
      <c r="B14" s="1948" t="s">
        <v>1086</v>
      </c>
      <c r="C14" s="1949"/>
      <c r="D14" s="1949"/>
      <c r="E14" s="1950"/>
      <c r="F14" s="1959">
        <f>工事費!J45</f>
        <v>0</v>
      </c>
      <c r="G14" s="1960"/>
      <c r="H14" s="1961">
        <f>IF(ISERROR(KKS!C6)=TRUE,0,IF(KKS!C6="参考値なし","参考値なし",KKS!C6))</f>
        <v>0</v>
      </c>
      <c r="I14" s="1962"/>
      <c r="J14" s="863" t="str">
        <f>IF(L14&lt;&gt;"","OK",IF(OR(F14="",F14=0)=TRUE,"エラー",IF(H14="参考値なし","OK",IF(H14="「大都市」設定なし","エラー",IF(ABS(F14-H14)&gt;=10,"エラー","OK")))))</f>
        <v>エラー</v>
      </c>
      <c r="K14" s="864" t="str">
        <f>IF(F14="",N14,IF(F14=0,O14,IF(H24="",P14,IF(H25="",Q14,IF(H14="参考値なし","",IF(H14="「大都市」設定なし",S14,IF(ABS(F14-H14)&gt;=10,R14,"")))))))</f>
        <v>共通仮設費の率分が「0」です。
「工事費」シートで金額を入力してください。</v>
      </c>
      <c r="L14" s="868"/>
      <c r="N14" s="866" t="s">
        <v>1087</v>
      </c>
      <c r="O14" s="866" t="s">
        <v>1088</v>
      </c>
      <c r="P14" s="866" t="s">
        <v>1089</v>
      </c>
      <c r="Q14" s="866" t="s">
        <v>1090</v>
      </c>
      <c r="R14" s="866" t="s">
        <v>1091</v>
      </c>
      <c r="S14" s="866" t="s">
        <v>1092</v>
      </c>
    </row>
    <row r="15" spans="1:20" s="154" customFormat="1" ht="14.25" customHeight="1">
      <c r="B15" s="869" t="s">
        <v>1093</v>
      </c>
      <c r="C15" s="870"/>
      <c r="D15" s="871"/>
      <c r="E15" s="199"/>
      <c r="F15" s="872"/>
      <c r="G15" s="873"/>
      <c r="H15" s="874"/>
      <c r="I15" s="875"/>
      <c r="J15" s="231"/>
      <c r="O15" s="862"/>
    </row>
    <row r="16" spans="1:20" s="154" customFormat="1" ht="14.25" customHeight="1">
      <c r="A16" s="231"/>
      <c r="B16" s="876" t="str">
        <f>B13&amp;"（自動計算値）　=　"&amp;工事費!J9&amp;"　＋　"&amp;工事費!J11&amp;"　＋　"&amp;工事費!J16&amp;"　＋　"&amp;工事費!J33&amp;"　＋　"&amp;工事費!J32&amp;"　-　"&amp;工事費!J92</f>
        <v>　共通仮設費積算対象金額（自動計算値）　=　　＋　　＋　　＋　　＋　　-　0</v>
      </c>
      <c r="C16" s="198"/>
      <c r="D16" s="198"/>
      <c r="E16" s="198"/>
      <c r="F16" s="198"/>
      <c r="G16" s="198"/>
      <c r="H16" s="198"/>
      <c r="I16" s="198"/>
      <c r="J16" s="198"/>
      <c r="K16" s="198"/>
      <c r="L16" s="198"/>
      <c r="M16" s="198"/>
      <c r="N16" s="200"/>
      <c r="O16" s="603"/>
      <c r="P16" s="603"/>
    </row>
    <row r="17" spans="1:16" s="154" customFormat="1" ht="14.25" customHeight="1">
      <c r="A17" s="199"/>
      <c r="B17" s="1218" t="s">
        <v>1800</v>
      </c>
      <c r="C17" s="198"/>
      <c r="D17" s="198"/>
      <c r="E17" s="198"/>
      <c r="F17" s="198"/>
      <c r="G17" s="198"/>
      <c r="H17" s="1218"/>
      <c r="I17" s="198"/>
      <c r="J17" s="198"/>
      <c r="K17" s="198"/>
      <c r="L17" s="198"/>
      <c r="M17" s="198"/>
      <c r="N17" s="110"/>
      <c r="O17" s="862"/>
    </row>
    <row r="18" spans="1:16" s="154" customFormat="1" ht="14.25" customHeight="1">
      <c r="A18" s="199"/>
      <c r="B18" s="877" t="s">
        <v>1094</v>
      </c>
      <c r="C18" s="878"/>
      <c r="D18" s="878"/>
      <c r="E18" s="878"/>
      <c r="F18" s="878"/>
      <c r="G18" s="878"/>
      <c r="H18" s="878"/>
      <c r="I18" s="878"/>
      <c r="J18" s="878"/>
      <c r="K18" s="878"/>
      <c r="L18" s="878"/>
      <c r="M18" s="878"/>
      <c r="N18" s="110"/>
      <c r="P18" s="1143"/>
    </row>
    <row r="19" spans="1:16" ht="14.25" customHeight="1">
      <c r="B19" s="857"/>
      <c r="C19" s="857"/>
      <c r="D19" s="857"/>
      <c r="E19" s="857"/>
      <c r="F19" s="857"/>
      <c r="G19" s="857"/>
      <c r="H19" s="857"/>
      <c r="I19" s="857"/>
      <c r="J19" s="857"/>
      <c r="K19" s="857"/>
      <c r="L19" s="857"/>
      <c r="N19" s="110"/>
      <c r="O19" s="154"/>
      <c r="P19" s="1143"/>
    </row>
    <row r="20" spans="1:16" s="154" customFormat="1" ht="14.25" customHeight="1">
      <c r="B20" s="373" t="s">
        <v>1095</v>
      </c>
      <c r="N20" s="110"/>
      <c r="P20" s="1143"/>
    </row>
    <row r="21" spans="1:16" s="154" customFormat="1" ht="18" customHeight="1">
      <c r="B21" s="879"/>
      <c r="C21" s="858" t="str">
        <f>VLOOKUP(VLOOKUP("○",KKS!B9:C14,2,FALSE),KKS!B39:D49,3,FALSE)</f>
        <v>「地域特性」又は「工種」が未入力のため計算エラーです。</v>
      </c>
      <c r="N21" s="110"/>
    </row>
    <row r="22" spans="1:16" s="154" customFormat="1" ht="39.75" customHeight="1">
      <c r="B22" s="879"/>
      <c r="C22" s="1963" t="str">
        <f>"「共通仮設費率分」自動計算値＝「共通仮設費積算対象金額」×"&amp;VLOOKUP(VLOOKUP("○",KKS!B9:C14,2,FALSE),KKS!B39:C49,2,FALSE)</f>
        <v>「共通仮設費率分」自動計算値＝「共通仮設費積算対象金額」×(「工種コードによる共通仮設費率（kr）」+「地域特性コードによる補正値」)×「復興補正係数」</v>
      </c>
      <c r="D22" s="1963"/>
      <c r="E22" s="1963"/>
      <c r="F22" s="1963"/>
      <c r="G22" s="1963"/>
      <c r="H22" s="1963"/>
      <c r="I22" s="1963"/>
      <c r="J22" s="1963"/>
      <c r="K22" s="1963"/>
      <c r="L22" s="1963"/>
      <c r="N22" s="110"/>
      <c r="O22" s="862"/>
    </row>
    <row r="23" spans="1:16" s="154" customFormat="1" ht="25.5" customHeight="1">
      <c r="C23" s="1924" t="s">
        <v>1096</v>
      </c>
      <c r="D23" s="1924"/>
      <c r="E23" s="1924"/>
      <c r="F23" s="1772" t="s">
        <v>1097</v>
      </c>
      <c r="G23" s="1773"/>
      <c r="H23" s="1924" t="s">
        <v>1098</v>
      </c>
      <c r="I23" s="1924"/>
      <c r="J23" s="1924"/>
    </row>
    <row r="24" spans="1:16" s="154" customFormat="1" ht="25.5" customHeight="1">
      <c r="C24" s="1921" t="s">
        <v>1099</v>
      </c>
      <c r="D24" s="1922"/>
      <c r="E24" s="1923"/>
      <c r="F24" s="1924" t="s">
        <v>326</v>
      </c>
      <c r="G24" s="1924"/>
      <c r="H24" s="1939" t="str">
        <f>IF(一般事項!F20="","",一般事項!F20)</f>
        <v/>
      </c>
      <c r="I24" s="1940"/>
      <c r="J24" s="1941"/>
      <c r="K24" s="532" t="str">
        <f>IF(H24="",N24,IF(H14="参考値なし","",IF(H14="「大都市」設定なし",O24,IF(F14="","",IF(ABS(F14-H14)&gt;=10,O24,"")))))</f>
        <v>←未入力です。「一般事項」シートで「工種」を入力してください。</v>
      </c>
      <c r="N24" s="866" t="s">
        <v>1100</v>
      </c>
      <c r="O24" s="866" t="s">
        <v>1101</v>
      </c>
    </row>
    <row r="25" spans="1:16" s="154" customFormat="1" ht="25.5" customHeight="1">
      <c r="C25" s="1921" t="s">
        <v>1102</v>
      </c>
      <c r="D25" s="1922"/>
      <c r="E25" s="1923"/>
      <c r="F25" s="1924" t="s">
        <v>326</v>
      </c>
      <c r="G25" s="1924"/>
      <c r="H25" s="1939" t="str">
        <f>IF(一般事項!F19="","",一般事項!F19)</f>
        <v/>
      </c>
      <c r="I25" s="1940"/>
      <c r="J25" s="1941"/>
      <c r="K25" s="532" t="str">
        <f>IF(H25="",N25,IF($H$14="参考値なし","",IF(H14="「大都市」設定なし",O25,IF(F14="","",IF(ABS($F$14-$H$14)&gt;=10,O25,"")))))</f>
        <v>←未入力です。「一般事項」シートで「地域特性」を入力してください。</v>
      </c>
      <c r="N25" s="866" t="s">
        <v>1103</v>
      </c>
      <c r="O25" s="866" t="s">
        <v>1104</v>
      </c>
    </row>
    <row r="26" spans="1:16" s="154" customFormat="1" ht="25.5" hidden="1" customHeight="1">
      <c r="A26" s="880"/>
      <c r="B26" s="880"/>
      <c r="C26" s="1931" t="s">
        <v>1105</v>
      </c>
      <c r="D26" s="1932"/>
      <c r="E26" s="1933"/>
      <c r="F26" s="1934" t="s">
        <v>326</v>
      </c>
      <c r="G26" s="1934"/>
      <c r="H26" s="1935" t="e">
        <f>IF(AND(#REF!=1,一般事項!F35="",一般事項!#REF!=""),"--",IF(AND(#REF!=1,#REF!=1,一般事項!#REF!=""),"",IF(AND(#REF!=1,#REF!=2,一般事項!#REF!=""),"-",IF(AND(#REF!&lt;&gt;1,一般事項!F35="",一般事項!#REF!=""),"-",一般事項!#REF!))))</f>
        <v>#REF!</v>
      </c>
      <c r="I26" s="1936"/>
      <c r="J26" s="1937"/>
      <c r="K26" s="532" t="e">
        <f>IF(H26="-","",IF(H26="--",P26,IF(H26="",N26,IF($H$11="参考値なし","",IF(H14="「大都市」設定なし",O26,IF(F14="","",IF(ABS($F$11-$H$11)&gt;=10,O26,"")))))))</f>
        <v>#REF!</v>
      </c>
      <c r="N26" s="866" t="s">
        <v>1106</v>
      </c>
      <c r="O26" s="866" t="s">
        <v>1107</v>
      </c>
      <c r="P26" s="866" t="s">
        <v>1108</v>
      </c>
    </row>
    <row r="27" spans="1:16" s="154" customFormat="1" ht="25.5" hidden="1" customHeight="1">
      <c r="A27" s="880"/>
      <c r="B27" s="880"/>
      <c r="C27" s="1938" t="s">
        <v>1109</v>
      </c>
      <c r="D27" s="1932"/>
      <c r="E27" s="1933"/>
      <c r="F27" s="1934" t="s">
        <v>326</v>
      </c>
      <c r="G27" s="1934"/>
      <c r="H27" s="1934" t="e">
        <f>IF(AND(OR(#REF!=1,#REF!=3,#REF!=5,#REF!=6,#REF!=7,#REF!=8,#REF!=9,AND(#REF!=4,一般事項!F20&lt;&gt;"299：海岸工事(農)")),一般事項!F83=""),"-",IF(AND(OR(#REF!=2,#REF!=4),一般事項!F83=""),"",一般事項!F83))</f>
        <v>#REF!</v>
      </c>
      <c r="I27" s="1934"/>
      <c r="J27" s="1934"/>
      <c r="K27" s="532" t="e">
        <f>IF(H27="",N27,IF(H27="-","",IF(H14="参考値なし","",IF(F14="","",IF(ABS(F14-H14)&gt;=10,O27,"")))))</f>
        <v>#REF!</v>
      </c>
      <c r="N27" s="866" t="s">
        <v>1110</v>
      </c>
      <c r="O27" s="866" t="s">
        <v>1111</v>
      </c>
    </row>
    <row r="28" spans="1:16" s="154" customFormat="1" ht="25.5" hidden="1" customHeight="1">
      <c r="A28" s="880"/>
      <c r="B28" s="880"/>
      <c r="C28" s="1931" t="s">
        <v>1112</v>
      </c>
      <c r="D28" s="1932"/>
      <c r="E28" s="1933"/>
      <c r="F28" s="1934" t="s">
        <v>326</v>
      </c>
      <c r="G28" s="1934"/>
      <c r="H28" s="1935" t="e">
        <f>IF(AND(#REF!=7,#REF!="",#REF!=""),"--",IF(AND(#REF!=7,#REF!=1,#REF!=""),"",IF(AND(#REF!=7,#REF!=2,#REF!=""),"-",IF(AND(#REF!&lt;&gt;7,一般事項!F84="",一般事項!F85=""),"-",一般事項!F85))))</f>
        <v>#REF!</v>
      </c>
      <c r="I28" s="1936"/>
      <c r="J28" s="1937"/>
      <c r="K28" s="532" t="e">
        <f>IF(H28="-","",IF(H28="--",P28,IF(H28="",N28,IF($H$11="参考値なし","",IF(F14="","",IF(ABS($F$11-$H$11)&gt;=10,O28,""))))))</f>
        <v>#REF!</v>
      </c>
      <c r="N28" s="866" t="s">
        <v>1113</v>
      </c>
      <c r="O28" s="866" t="s">
        <v>1114</v>
      </c>
      <c r="P28" s="866" t="s">
        <v>1115</v>
      </c>
    </row>
    <row r="29" spans="1:16" s="154" customFormat="1" ht="25.5" customHeight="1">
      <c r="C29" s="1921" t="s">
        <v>1116</v>
      </c>
      <c r="D29" s="1922"/>
      <c r="E29" s="1923"/>
      <c r="F29" s="1924" t="s">
        <v>329</v>
      </c>
      <c r="G29" s="1924"/>
      <c r="H29" s="1925" t="str">
        <f>IF(工事費!J65="","",工事費!J65)</f>
        <v/>
      </c>
      <c r="I29" s="1925"/>
      <c r="J29" s="1925"/>
      <c r="K29" s="532" t="str">
        <f>IF(H29="",N29,IF(H14="参考値なし","",IF(H14="「大都市」設定なし","",IF(F14="","",IF(ABS(F14-H14)&gt;=10,O29,"")))))</f>
        <v>←未入力です。「工事費」シートで「共通仮設費積算対象金額」を入力してください。</v>
      </c>
      <c r="N29" s="866" t="s">
        <v>1117</v>
      </c>
      <c r="O29" s="866" t="s">
        <v>1118</v>
      </c>
    </row>
    <row r="30" spans="1:16" s="154" customFormat="1" ht="25.5" customHeight="1">
      <c r="C30" s="1921" t="s">
        <v>1119</v>
      </c>
      <c r="D30" s="1922"/>
      <c r="E30" s="1923"/>
      <c r="F30" s="1924" t="s">
        <v>329</v>
      </c>
      <c r="G30" s="1924"/>
      <c r="H30" s="1925" t="str">
        <f>IF(工事費!J45="","",工事費!J45)</f>
        <v/>
      </c>
      <c r="I30" s="1925"/>
      <c r="J30" s="1925"/>
      <c r="K30" s="532" t="str">
        <f>IF(H30="",N30,IF(H14="参考値なし","",IF(H14="「大都市」設定なし","",IF(ABS(F14-H14)&gt;=10,O30,""))))</f>
        <v>←未入力です。「工事費」シートで「共通仮設費の率分」を入力してください。</v>
      </c>
      <c r="N30" s="866" t="s">
        <v>1120</v>
      </c>
      <c r="O30" s="866" t="s">
        <v>1121</v>
      </c>
    </row>
    <row r="31" spans="1:16" s="154" customFormat="1" ht="6.75" customHeight="1">
      <c r="B31" s="879"/>
      <c r="C31" s="879"/>
      <c r="D31" s="879"/>
      <c r="E31" s="879"/>
      <c r="F31" s="879"/>
      <c r="G31" s="879"/>
      <c r="H31" s="879"/>
      <c r="I31" s="879"/>
      <c r="J31" s="879"/>
      <c r="K31" s="879"/>
      <c r="L31" s="879"/>
    </row>
    <row r="32" spans="1:16" ht="78.75" customHeight="1">
      <c r="C32" s="1926" t="s">
        <v>5406</v>
      </c>
      <c r="D32" s="1927"/>
      <c r="E32" s="1927"/>
      <c r="F32" s="1927"/>
      <c r="G32" s="1927"/>
      <c r="H32" s="1927"/>
      <c r="I32" s="1928" t="s">
        <v>5407</v>
      </c>
      <c r="J32" s="1929"/>
      <c r="K32" s="1929"/>
      <c r="L32" s="1930"/>
    </row>
    <row r="33" spans="2:11" ht="19.5" customHeight="1">
      <c r="B33" s="279" t="s">
        <v>1172</v>
      </c>
      <c r="D33" s="155"/>
      <c r="E33" s="155"/>
      <c r="F33" s="155"/>
      <c r="G33" s="155"/>
      <c r="H33" s="155"/>
    </row>
    <row r="34" spans="2:11" ht="15" customHeight="1">
      <c r="B34" s="372" t="s">
        <v>586</v>
      </c>
      <c r="C34" s="377"/>
      <c r="D34" s="155"/>
      <c r="E34" s="155"/>
      <c r="F34" s="155"/>
      <c r="G34" s="155"/>
      <c r="H34" s="155"/>
    </row>
    <row r="35" spans="2:11" ht="4.5" customHeight="1">
      <c r="B35" s="279"/>
      <c r="D35" s="155"/>
      <c r="E35" s="155"/>
      <c r="F35" s="155"/>
      <c r="G35" s="155"/>
      <c r="H35" s="155"/>
    </row>
    <row r="36" spans="2:11" s="158" customFormat="1" ht="20.100000000000001" customHeight="1">
      <c r="B36" s="280"/>
      <c r="C36" s="1958" t="s">
        <v>667</v>
      </c>
      <c r="D36" s="1958"/>
      <c r="E36" s="157"/>
      <c r="F36" s="157"/>
      <c r="G36" s="156" t="s">
        <v>668</v>
      </c>
      <c r="H36" s="157"/>
      <c r="I36" s="376" t="s">
        <v>34</v>
      </c>
      <c r="J36" s="157"/>
      <c r="K36" s="281"/>
    </row>
    <row r="37" spans="2:11" s="158" customFormat="1" ht="21.75" customHeight="1">
      <c r="B37" s="283"/>
      <c r="C37" s="1919" t="s">
        <v>524</v>
      </c>
      <c r="D37" s="1920"/>
      <c r="E37" s="399" t="s">
        <v>576</v>
      </c>
      <c r="G37" s="282">
        <f>工事情報!B1</f>
        <v>21</v>
      </c>
      <c r="H37" s="158" t="s">
        <v>177</v>
      </c>
      <c r="I37" s="282">
        <f>工事情報!D1</f>
        <v>0</v>
      </c>
      <c r="J37" s="158" t="s">
        <v>177</v>
      </c>
      <c r="K37" s="529" t="str">
        <f>IF(G37=0,"","工事情報シートに未入力があります。")</f>
        <v>工事情報シートに未入力があります。</v>
      </c>
    </row>
    <row r="38" spans="2:11" s="158" customFormat="1" ht="13.5" customHeight="1">
      <c r="B38" s="283"/>
      <c r="C38" s="284"/>
      <c r="D38" s="285"/>
      <c r="K38" s="529" t="str">
        <f>IF(I37=0,"","工事情報シートにエラーがあります。")</f>
        <v/>
      </c>
    </row>
    <row r="39" spans="2:11" s="158" customFormat="1" ht="21.75" customHeight="1">
      <c r="B39" s="283"/>
      <c r="C39" s="1919" t="s">
        <v>178</v>
      </c>
      <c r="D39" s="1920"/>
      <c r="E39" s="399" t="s">
        <v>577</v>
      </c>
      <c r="G39" s="282">
        <f>一般事項!B1</f>
        <v>34</v>
      </c>
      <c r="H39" s="158" t="s">
        <v>177</v>
      </c>
      <c r="I39" s="282">
        <f>一般事項!D1</f>
        <v>0</v>
      </c>
      <c r="J39" s="158" t="s">
        <v>177</v>
      </c>
      <c r="K39" s="529" t="str">
        <f>IF(G39=0,"","一般事項シートに未入力があります。")</f>
        <v>一般事項シートに未入力があります。</v>
      </c>
    </row>
    <row r="40" spans="2:11" s="158" customFormat="1" ht="13.5" customHeight="1">
      <c r="B40" s="283"/>
      <c r="C40" s="284"/>
      <c r="K40" s="529" t="str">
        <f>IF(I39=0,"","一般事項シートにエラーがあります。")</f>
        <v/>
      </c>
    </row>
    <row r="41" spans="2:11" s="158" customFormat="1" ht="21.75" customHeight="1">
      <c r="B41" s="283"/>
      <c r="C41" s="1919" t="s">
        <v>179</v>
      </c>
      <c r="D41" s="1920"/>
      <c r="E41" s="399" t="s">
        <v>577</v>
      </c>
      <c r="G41" s="282">
        <f>工事費!B1</f>
        <v>47</v>
      </c>
      <c r="H41" s="158" t="s">
        <v>177</v>
      </c>
      <c r="I41" s="282">
        <f>工事費!D1</f>
        <v>0</v>
      </c>
      <c r="J41" s="158" t="s">
        <v>177</v>
      </c>
      <c r="K41" s="529" t="str">
        <f>IF(G41=0,"","工事費シートに未入力があります。")</f>
        <v>工事費シートに未入力があります。</v>
      </c>
    </row>
    <row r="42" spans="2:11" s="158" customFormat="1" ht="13.5" customHeight="1">
      <c r="B42" s="283"/>
      <c r="C42" s="284"/>
      <c r="K42" s="529" t="str">
        <f>IF(I41=0,"","工事費シートにエラーがあります。")</f>
        <v/>
      </c>
    </row>
    <row r="43" spans="2:11" s="158" customFormat="1" ht="21.75" customHeight="1">
      <c r="B43" s="283"/>
      <c r="C43" s="1919" t="s">
        <v>180</v>
      </c>
      <c r="D43" s="1920"/>
      <c r="E43" s="399" t="s">
        <v>577</v>
      </c>
      <c r="G43" s="282">
        <f>工期!B1</f>
        <v>19</v>
      </c>
      <c r="H43" s="158" t="s">
        <v>177</v>
      </c>
      <c r="I43" s="282">
        <f>工期!D1</f>
        <v>0</v>
      </c>
      <c r="J43" s="158" t="s">
        <v>177</v>
      </c>
      <c r="K43" s="529" t="str">
        <f>IF(G43=0,"","工期シートに未入力があります。")</f>
        <v>工期シートに未入力があります。</v>
      </c>
    </row>
    <row r="44" spans="2:11" s="158" customFormat="1" ht="13.5" customHeight="1">
      <c r="B44" s="283"/>
      <c r="C44" s="284"/>
      <c r="K44" s="529" t="str">
        <f>IF(I43=0,"","工期シートにエラーがあります。")</f>
        <v/>
      </c>
    </row>
    <row r="45" spans="2:11" s="158" customFormat="1" ht="21.75" customHeight="1">
      <c r="B45" s="283"/>
      <c r="C45" s="1919" t="s">
        <v>181</v>
      </c>
      <c r="D45" s="1920"/>
      <c r="E45" s="399" t="s">
        <v>576</v>
      </c>
      <c r="G45" s="282">
        <f>施工環境!B1</f>
        <v>13</v>
      </c>
      <c r="H45" s="158" t="s">
        <v>177</v>
      </c>
      <c r="I45" s="282">
        <f>施工環境!D1</f>
        <v>0</v>
      </c>
      <c r="J45" s="158" t="s">
        <v>177</v>
      </c>
      <c r="K45" s="529" t="str">
        <f>IF(G45=0,"","施工環境シートに未入力があります。")</f>
        <v>施工環境シートに未入力があります。</v>
      </c>
    </row>
    <row r="46" spans="2:11" s="158" customFormat="1" ht="13.5" customHeight="1">
      <c r="B46" s="283"/>
      <c r="C46" s="284"/>
      <c r="D46" s="285"/>
      <c r="G46" s="537"/>
      <c r="I46" s="537"/>
      <c r="K46" s="529" t="str">
        <f>IF(I45=0,"","施工環境シートにエラーがあります。")</f>
        <v/>
      </c>
    </row>
    <row r="47" spans="2:11" s="158" customFormat="1" ht="21.75" customHeight="1">
      <c r="B47" s="283"/>
      <c r="C47" s="1919" t="s">
        <v>102</v>
      </c>
      <c r="D47" s="1920"/>
      <c r="E47" s="399" t="s">
        <v>577</v>
      </c>
      <c r="G47" s="282">
        <f>'二次製品（航空）'!B1</f>
        <v>0</v>
      </c>
      <c r="H47" s="158" t="s">
        <v>177</v>
      </c>
      <c r="I47" s="282">
        <f>'二次製品（航空）'!D1</f>
        <v>0</v>
      </c>
      <c r="J47" s="158" t="s">
        <v>177</v>
      </c>
      <c r="K47" s="529" t="str">
        <f>IF(G47=0,"","二次製品シートに未入力があります。")</f>
        <v/>
      </c>
    </row>
    <row r="48" spans="2:11" s="158" customFormat="1" ht="13.5" customHeight="1">
      <c r="B48" s="283"/>
      <c r="C48" s="284"/>
      <c r="D48" s="285"/>
      <c r="G48" s="537"/>
      <c r="I48" s="537"/>
      <c r="K48" s="529" t="str">
        <f>IF(I47=0,"","二次製品シートにエラーがあります。")</f>
        <v/>
      </c>
    </row>
    <row r="49" spans="1:13" ht="21.75" customHeight="1">
      <c r="A49" s="158"/>
      <c r="B49" s="283"/>
      <c r="C49" s="1919" t="s">
        <v>716</v>
      </c>
      <c r="D49" s="1920"/>
      <c r="E49" s="399" t="s">
        <v>744</v>
      </c>
      <c r="F49" s="158"/>
      <c r="G49" s="282">
        <f>準備費!B1</f>
        <v>1</v>
      </c>
      <c r="H49" s="158" t="s">
        <v>177</v>
      </c>
      <c r="I49" s="282">
        <f>準備費!D1</f>
        <v>0</v>
      </c>
      <c r="J49" s="158" t="s">
        <v>177</v>
      </c>
      <c r="K49" s="529" t="str">
        <f>IF(G49=0,"","準備費シートに未入力があります。")</f>
        <v>準備費シートに未入力があります。</v>
      </c>
      <c r="M49" s="261"/>
    </row>
    <row r="50" spans="1:13" ht="13.5" customHeight="1">
      <c r="A50" s="158"/>
      <c r="B50" s="283"/>
      <c r="C50" s="158"/>
      <c r="D50" s="158"/>
      <c r="E50" s="158"/>
      <c r="F50" s="158"/>
      <c r="G50" s="158"/>
      <c r="H50" s="158"/>
      <c r="I50" s="158"/>
      <c r="J50" s="158"/>
      <c r="K50" s="529" t="str">
        <f>IF(I49=0,"","準備費シートにエラーがあります。")</f>
        <v/>
      </c>
      <c r="L50" s="158"/>
    </row>
    <row r="51" spans="1:13" s="1224" customFormat="1" ht="21.75" customHeight="1">
      <c r="A51" s="158"/>
      <c r="B51" s="283"/>
      <c r="C51" s="1919" t="s">
        <v>1932</v>
      </c>
      <c r="D51" s="1920"/>
      <c r="E51" s="399" t="s">
        <v>576</v>
      </c>
      <c r="F51" s="158"/>
      <c r="G51" s="282">
        <f>ICT!B1</f>
        <v>0</v>
      </c>
      <c r="H51" s="158" t="s">
        <v>177</v>
      </c>
      <c r="I51" s="282">
        <f>ICT!D1</f>
        <v>0</v>
      </c>
      <c r="J51" s="158" t="s">
        <v>177</v>
      </c>
      <c r="K51" s="529" t="str">
        <f>IF(G51=0,"","ICTシートに未入力があります。")</f>
        <v/>
      </c>
      <c r="M51" s="261"/>
    </row>
    <row r="52" spans="1:13" s="1224" customFormat="1" ht="13.5" customHeight="1">
      <c r="A52" s="158"/>
      <c r="B52" s="283"/>
      <c r="C52" s="158"/>
      <c r="D52" s="158"/>
      <c r="E52" s="158"/>
      <c r="F52" s="158"/>
      <c r="G52" s="158"/>
      <c r="H52" s="158"/>
      <c r="I52" s="158"/>
      <c r="J52" s="158"/>
      <c r="K52" s="529"/>
      <c r="L52" s="158"/>
    </row>
    <row r="53" spans="1:13" s="1539" customFormat="1" ht="21.75" customHeight="1">
      <c r="A53" s="158"/>
      <c r="B53" s="283"/>
      <c r="C53" s="1919" t="s">
        <v>5383</v>
      </c>
      <c r="D53" s="1920"/>
      <c r="E53" s="399" t="s">
        <v>576</v>
      </c>
      <c r="F53" s="158"/>
      <c r="G53" s="282">
        <f>感染対策!$B$1</f>
        <v>5</v>
      </c>
      <c r="H53" s="158" t="s">
        <v>177</v>
      </c>
      <c r="I53" s="282">
        <f>感染対策!$D$1</f>
        <v>0</v>
      </c>
      <c r="J53" s="158" t="s">
        <v>177</v>
      </c>
      <c r="K53" s="529" t="str">
        <f>IF(G53=0,"","感染対策シートに未入力があります。")</f>
        <v>感染対策シートに未入力があります。</v>
      </c>
      <c r="M53" s="261"/>
    </row>
    <row r="54" spans="1:13" s="1539" customFormat="1" ht="13.5" customHeight="1">
      <c r="A54" s="158"/>
      <c r="B54" s="283"/>
      <c r="C54" s="158"/>
      <c r="D54" s="158"/>
      <c r="E54" s="158"/>
      <c r="F54" s="158"/>
      <c r="G54" s="158"/>
      <c r="H54" s="158"/>
      <c r="I54" s="158"/>
      <c r="J54" s="158"/>
      <c r="K54" s="529"/>
      <c r="L54" s="158"/>
    </row>
    <row r="55" spans="1:13" ht="21.75" customHeight="1">
      <c r="A55" s="158"/>
      <c r="B55" s="283"/>
      <c r="C55" s="1919" t="s">
        <v>1171</v>
      </c>
      <c r="D55" s="1920"/>
      <c r="E55" s="399" t="s">
        <v>744</v>
      </c>
      <c r="F55" s="158"/>
      <c r="G55" s="898"/>
      <c r="H55" s="158" t="s">
        <v>177</v>
      </c>
      <c r="I55" s="282">
        <f>COUNTIF(J13:J14,"エラー")</f>
        <v>2</v>
      </c>
      <c r="J55" s="158" t="s">
        <v>177</v>
      </c>
      <c r="K55" s="529" t="str">
        <f>IF(I55=0,"","確認シートにエラーがあります。")</f>
        <v>確認シートにエラーがあります。</v>
      </c>
      <c r="M55" s="261"/>
    </row>
    <row r="56" spans="1:13" ht="13.5" customHeight="1">
      <c r="A56" s="158"/>
      <c r="B56" s="283"/>
      <c r="C56" s="158"/>
      <c r="D56" s="158"/>
      <c r="E56" s="158"/>
      <c r="F56" s="158"/>
      <c r="G56" s="158"/>
      <c r="H56" s="158"/>
      <c r="I56" s="158"/>
      <c r="J56" s="158"/>
      <c r="K56" s="529"/>
      <c r="L56" s="158"/>
    </row>
    <row r="57" spans="1:13" s="1355" customFormat="1" ht="21.75" customHeight="1">
      <c r="A57" s="158"/>
      <c r="B57" s="283"/>
      <c r="C57" s="1917" t="s">
        <v>1950</v>
      </c>
      <c r="D57" s="1918"/>
      <c r="E57" s="399" t="s">
        <v>576</v>
      </c>
      <c r="F57" s="158"/>
      <c r="G57" s="282">
        <f>元請調査票データ!H1</f>
        <v>148</v>
      </c>
      <c r="H57" s="158" t="s">
        <v>177</v>
      </c>
      <c r="I57" s="1370"/>
      <c r="J57" s="1370"/>
      <c r="K57" s="1371" t="str">
        <f>IF(G57=0,"","元請調査票データシートに貼付漏れがあります。")</f>
        <v>元請調査票データシートに貼付漏れがあります。</v>
      </c>
      <c r="M57" s="261"/>
    </row>
    <row r="58" spans="1:13" s="1355" customFormat="1" ht="7.5" customHeight="1">
      <c r="A58" s="158"/>
      <c r="B58" s="283"/>
      <c r="C58" s="158"/>
      <c r="D58" s="158"/>
      <c r="E58" s="158"/>
      <c r="F58" s="158"/>
      <c r="G58" s="158"/>
      <c r="H58" s="158"/>
      <c r="I58" s="158"/>
      <c r="J58" s="158"/>
      <c r="K58" s="529"/>
      <c r="L58" s="158"/>
    </row>
    <row r="59" spans="1:13" s="1355" customFormat="1" ht="7.5" customHeight="1">
      <c r="A59" s="158"/>
      <c r="B59" s="283"/>
      <c r="C59" s="158"/>
      <c r="D59" s="158"/>
      <c r="E59" s="158"/>
      <c r="F59" s="158"/>
      <c r="G59" s="158"/>
      <c r="H59" s="158"/>
      <c r="I59" s="158"/>
      <c r="J59" s="158"/>
      <c r="K59" s="529"/>
      <c r="L59" s="158"/>
    </row>
    <row r="60" spans="1:13" s="1355" customFormat="1" ht="7.5" customHeight="1">
      <c r="A60" s="158"/>
      <c r="B60" s="283"/>
      <c r="C60" s="158"/>
      <c r="D60" s="158"/>
      <c r="E60" s="158"/>
      <c r="F60" s="158"/>
      <c r="G60" s="158"/>
      <c r="H60" s="158"/>
      <c r="I60" s="158"/>
      <c r="J60" s="158"/>
      <c r="K60" s="529"/>
      <c r="L60" s="158"/>
    </row>
    <row r="61" spans="1:13" s="278" customFormat="1" ht="7.5" customHeight="1">
      <c r="A61" s="131"/>
      <c r="B61" s="593"/>
      <c r="C61" s="594"/>
      <c r="D61" s="594"/>
      <c r="E61" s="594"/>
      <c r="F61" s="594"/>
      <c r="G61" s="594"/>
      <c r="H61" s="594"/>
      <c r="I61" s="594"/>
      <c r="J61" s="594"/>
      <c r="K61" s="595"/>
      <c r="L61" s="131"/>
    </row>
    <row r="62" spans="1:13" ht="20.25" customHeight="1">
      <c r="A62" s="278"/>
      <c r="K62" s="229"/>
      <c r="L62" s="229"/>
    </row>
    <row r="64" spans="1:13">
      <c r="B64" s="42"/>
    </row>
    <row r="67" spans="7:7" ht="14.25">
      <c r="G67" s="158"/>
    </row>
  </sheetData>
  <sheetProtection algorithmName="SHA-512" hashValue="Ae1iOqu8RTnPWAjaA1xRF6UL1xYpTwW+pTVrhPdYoqGohxAkcGVYke/viHynwWmnGI1ZsG7vIu/xjlmajlf2mw==" saltValue="WEEMjjeN8X04pupnrCuuJA==" spinCount="100000" sheet="1" objects="1" scenarios="1"/>
  <mergeCells count="50">
    <mergeCell ref="E3:J3"/>
    <mergeCell ref="C45:D45"/>
    <mergeCell ref="C49:D49"/>
    <mergeCell ref="C36:D36"/>
    <mergeCell ref="C37:D37"/>
    <mergeCell ref="C39:D39"/>
    <mergeCell ref="C41:D41"/>
    <mergeCell ref="C47:D47"/>
    <mergeCell ref="C43:D43"/>
    <mergeCell ref="B14:E14"/>
    <mergeCell ref="F14:G14"/>
    <mergeCell ref="H14:I14"/>
    <mergeCell ref="C22:L22"/>
    <mergeCell ref="C23:E23"/>
    <mergeCell ref="F23:G23"/>
    <mergeCell ref="H23:J23"/>
    <mergeCell ref="K6:L7"/>
    <mergeCell ref="B12:E12"/>
    <mergeCell ref="F12:G12"/>
    <mergeCell ref="H12:I12"/>
    <mergeCell ref="B13:E13"/>
    <mergeCell ref="F13:G13"/>
    <mergeCell ref="H13:I1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57:D57"/>
    <mergeCell ref="C51:D51"/>
    <mergeCell ref="C30:E30"/>
    <mergeCell ref="F30:G30"/>
    <mergeCell ref="H30:J30"/>
    <mergeCell ref="C32:H32"/>
    <mergeCell ref="I32:L32"/>
    <mergeCell ref="C55:D55"/>
    <mergeCell ref="C53:D53"/>
  </mergeCells>
  <phoneticPr fontId="5"/>
  <conditionalFormatting sqref="J13:J14">
    <cfRule type="cellIs" dxfId="10" priority="1" stopIfTrue="1" operator="equal">
      <formula>"エラー"</formula>
    </cfRule>
  </conditionalFormatting>
  <pageMargins left="0.39370078740157483" right="0.15748031496062992" top="0.59055118110236227" bottom="0.23622047244094491" header="0.31496062992125984" footer="0.15748031496062992"/>
  <pageSetup paperSize="9" scale="77" orientation="portrait" r:id="rId1"/>
  <headerFooter alignWithMargins="0">
    <oddHeader>&amp;L&amp;A</oddHeader>
    <oddFooter>&amp;C&amp;P/&amp;N</oddFooter>
  </headerFooter>
  <rowBreaks count="1" manualBreakCount="1">
    <brk id="68" max="11" man="1"/>
  </rowBreaks>
  <colBreaks count="1" manualBreakCount="1">
    <brk id="12" max="5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38C28-16DB-4B7F-BEC9-85FC0731FE67}">
  <sheetPr>
    <tabColor rgb="FFFFC000"/>
  </sheetPr>
  <dimension ref="A1:R233"/>
  <sheetViews>
    <sheetView showGridLines="0" zoomScaleNormal="100" workbookViewId="0">
      <pane ySplit="11" topLeftCell="A12" activePane="bottomLeft" state="frozen"/>
      <selection activeCell="W16" sqref="W16"/>
      <selection pane="bottomLeft"/>
    </sheetView>
  </sheetViews>
  <sheetFormatPr defaultRowHeight="13.5"/>
  <cols>
    <col min="1" max="1" width="5.25" style="1220" customWidth="1"/>
    <col min="2" max="2" width="3.125" style="1220" bestFit="1" customWidth="1"/>
    <col min="3" max="3" width="3.875" style="1220" customWidth="1"/>
    <col min="4" max="4" width="4.125" style="1220" customWidth="1"/>
    <col min="5" max="5" width="4.75" style="1220" customWidth="1"/>
    <col min="6" max="6" width="6.25" style="1220" customWidth="1"/>
    <col min="7" max="7" width="24.125" style="1220" bestFit="1" customWidth="1"/>
    <col min="8" max="8" width="17.5" style="1220" customWidth="1"/>
    <col min="9" max="16" width="9" style="1220"/>
    <col min="17" max="17" width="9" style="1364" hidden="1" customWidth="1"/>
    <col min="18" max="16384" width="9" style="1220"/>
  </cols>
  <sheetData>
    <row r="1" spans="1:18" s="1354" customFormat="1" hidden="1">
      <c r="A1" s="1368"/>
      <c r="B1" s="1368"/>
      <c r="C1" s="1368"/>
      <c r="D1" s="1368"/>
      <c r="E1" s="1368"/>
      <c r="F1" s="1368"/>
      <c r="G1" s="1369" t="s">
        <v>1951</v>
      </c>
      <c r="H1" s="1368">
        <f>COUNTIFS($Q$8:$Q$221,"※")</f>
        <v>148</v>
      </c>
      <c r="I1" s="1368"/>
      <c r="J1" s="1368"/>
      <c r="K1" s="1368"/>
      <c r="L1" s="1368"/>
      <c r="M1" s="1368"/>
      <c r="N1" s="1368"/>
      <c r="O1" s="1368"/>
      <c r="P1" s="1368"/>
      <c r="Q1" s="1363"/>
    </row>
    <row r="2" spans="1:18" ht="6" customHeight="1">
      <c r="P2" s="1640"/>
      <c r="R2" s="1640"/>
    </row>
    <row r="3" spans="1:18">
      <c r="B3" s="1964" t="s">
        <v>5448</v>
      </c>
      <c r="C3" s="1965"/>
      <c r="D3" s="1965"/>
      <c r="E3" s="1965"/>
      <c r="F3" s="1965"/>
      <c r="G3" s="1965"/>
      <c r="H3" s="1965"/>
    </row>
    <row r="4" spans="1:18">
      <c r="B4" s="1964"/>
      <c r="C4" s="1965"/>
      <c r="D4" s="1965"/>
      <c r="E4" s="1965"/>
      <c r="F4" s="1965"/>
      <c r="G4" s="1965"/>
      <c r="H4" s="1965"/>
    </row>
    <row r="5" spans="1:18">
      <c r="B5" s="1965"/>
      <c r="C5" s="1965"/>
      <c r="D5" s="1965"/>
      <c r="E5" s="1965"/>
      <c r="F5" s="1965"/>
      <c r="G5" s="1965"/>
      <c r="H5" s="1965"/>
    </row>
    <row r="6" spans="1:18">
      <c r="B6" s="1965"/>
      <c r="C6" s="1965"/>
      <c r="D6" s="1965"/>
      <c r="E6" s="1965"/>
      <c r="F6" s="1965"/>
      <c r="G6" s="1965"/>
      <c r="H6" s="1965"/>
    </row>
    <row r="7" spans="1:18" ht="14.25" thickBot="1">
      <c r="B7" s="1966"/>
      <c r="C7" s="1966"/>
      <c r="D7" s="1966"/>
      <c r="E7" s="1966"/>
      <c r="F7" s="1966"/>
      <c r="G7" s="1966"/>
      <c r="H7" s="1966"/>
    </row>
    <row r="8" spans="1:18" ht="14.25" customHeight="1" thickTop="1">
      <c r="B8" s="1372" t="s">
        <v>400</v>
      </c>
      <c r="C8" s="1373"/>
      <c r="D8" s="1374"/>
      <c r="E8" s="1375"/>
      <c r="F8" s="1376"/>
      <c r="G8" s="1376"/>
      <c r="H8" s="1377"/>
      <c r="Q8" s="1365" t="str">
        <f>IF($E8="","※","")</f>
        <v>※</v>
      </c>
    </row>
    <row r="9" spans="1:18" ht="13.5" customHeight="1">
      <c r="B9" s="1378" t="s">
        <v>523</v>
      </c>
      <c r="C9" s="1379"/>
      <c r="D9" s="1380"/>
      <c r="E9" s="1381"/>
      <c r="F9" s="1382"/>
      <c r="G9" s="1382"/>
      <c r="H9" s="1383"/>
      <c r="Q9" s="1365" t="str">
        <f>IF($E9="","※","")</f>
        <v>※</v>
      </c>
    </row>
    <row r="10" spans="1:18">
      <c r="B10" s="1384" t="s">
        <v>661</v>
      </c>
      <c r="C10" s="1385"/>
      <c r="D10" s="1385"/>
      <c r="E10" s="1385"/>
      <c r="F10" s="1385"/>
      <c r="G10" s="1386"/>
      <c r="H10" s="1387" t="s">
        <v>1811</v>
      </c>
    </row>
    <row r="11" spans="1:18">
      <c r="B11" s="1388"/>
      <c r="C11" s="1389"/>
      <c r="D11" s="1389"/>
      <c r="E11" s="1389"/>
      <c r="F11" s="1389"/>
      <c r="G11" s="1390"/>
      <c r="H11" s="1391" t="s">
        <v>123</v>
      </c>
    </row>
    <row r="12" spans="1:18">
      <c r="B12" s="1392" t="s">
        <v>672</v>
      </c>
      <c r="C12" s="1393"/>
      <c r="D12" s="1393"/>
      <c r="E12" s="1393"/>
      <c r="F12" s="1393"/>
      <c r="G12" s="1393"/>
      <c r="H12" s="1394"/>
      <c r="Q12" s="1365" t="str">
        <f>IF($H12="","※","")</f>
        <v>※</v>
      </c>
    </row>
    <row r="13" spans="1:18" ht="14.25" thickBot="1">
      <c r="B13" s="1395" t="s">
        <v>334</v>
      </c>
      <c r="C13" s="1396"/>
      <c r="D13" s="1396"/>
      <c r="E13" s="1396"/>
      <c r="F13" s="1396"/>
      <c r="G13" s="1396"/>
      <c r="H13" s="1397"/>
      <c r="Q13" s="1365" t="str">
        <f t="shared" ref="Q13:Q75" si="0">IF($H13="","※","")</f>
        <v>※</v>
      </c>
    </row>
    <row r="14" spans="1:18" ht="14.25" thickTop="1">
      <c r="B14" s="1398" t="s">
        <v>290</v>
      </c>
      <c r="C14" s="1399" t="s">
        <v>333</v>
      </c>
      <c r="D14" s="1400"/>
      <c r="E14" s="1401"/>
      <c r="F14" s="1401"/>
      <c r="G14" s="1402"/>
      <c r="H14" s="1403"/>
      <c r="Q14" s="1365" t="str">
        <f t="shared" si="0"/>
        <v>※</v>
      </c>
    </row>
    <row r="15" spans="1:18">
      <c r="B15" s="1404"/>
      <c r="C15" s="1405" t="s">
        <v>57</v>
      </c>
      <c r="D15" s="1406" t="s">
        <v>452</v>
      </c>
      <c r="E15" s="1400"/>
      <c r="F15" s="1400"/>
      <c r="G15" s="1407"/>
      <c r="H15" s="1408"/>
      <c r="Q15" s="1365" t="str">
        <f t="shared" si="0"/>
        <v>※</v>
      </c>
    </row>
    <row r="16" spans="1:18">
      <c r="B16" s="1404"/>
      <c r="C16" s="1409" t="s">
        <v>162</v>
      </c>
      <c r="D16" s="1406" t="s">
        <v>1812</v>
      </c>
      <c r="E16" s="1400"/>
      <c r="F16" s="1400"/>
      <c r="G16" s="1407"/>
      <c r="H16" s="1408"/>
      <c r="Q16" s="1365" t="str">
        <f t="shared" si="0"/>
        <v>※</v>
      </c>
    </row>
    <row r="17" spans="2:17">
      <c r="B17" s="1404"/>
      <c r="C17" s="1410"/>
      <c r="D17" s="1411" t="s">
        <v>1813</v>
      </c>
      <c r="E17" s="1412" t="s">
        <v>200</v>
      </c>
      <c r="F17" s="1412"/>
      <c r="G17" s="1413"/>
      <c r="H17" s="1414"/>
      <c r="Q17" s="1365" t="str">
        <f t="shared" si="0"/>
        <v>※</v>
      </c>
    </row>
    <row r="18" spans="2:17">
      <c r="B18" s="1404"/>
      <c r="C18" s="1410"/>
      <c r="D18" s="1415" t="s">
        <v>1814</v>
      </c>
      <c r="E18" s="1416" t="s">
        <v>1815</v>
      </c>
      <c r="F18" s="1416"/>
      <c r="G18" s="1417"/>
      <c r="H18" s="1418"/>
      <c r="Q18" s="1365" t="str">
        <f t="shared" si="0"/>
        <v>※</v>
      </c>
    </row>
    <row r="19" spans="2:17">
      <c r="B19" s="1404"/>
      <c r="C19" s="1419"/>
      <c r="D19" s="1419" t="s">
        <v>160</v>
      </c>
      <c r="E19" s="1420" t="s">
        <v>1816</v>
      </c>
      <c r="F19" s="1421"/>
      <c r="G19" s="1422"/>
      <c r="H19" s="1423"/>
      <c r="Q19" s="1365" t="str">
        <f t="shared" si="0"/>
        <v>※</v>
      </c>
    </row>
    <row r="20" spans="2:17">
      <c r="B20" s="1404"/>
      <c r="C20" s="1405" t="s">
        <v>58</v>
      </c>
      <c r="D20" s="1406" t="s">
        <v>1817</v>
      </c>
      <c r="E20" s="1400"/>
      <c r="F20" s="1400"/>
      <c r="G20" s="1407"/>
      <c r="H20" s="1408"/>
      <c r="Q20" s="1365" t="str">
        <f t="shared" si="0"/>
        <v>※</v>
      </c>
    </row>
    <row r="21" spans="2:17">
      <c r="B21" s="1404"/>
      <c r="C21" s="1405" t="s">
        <v>59</v>
      </c>
      <c r="D21" s="1406" t="s">
        <v>1818</v>
      </c>
      <c r="E21" s="1400"/>
      <c r="F21" s="1400"/>
      <c r="G21" s="1407"/>
      <c r="H21" s="1408"/>
      <c r="Q21" s="1365" t="str">
        <f t="shared" si="0"/>
        <v>※</v>
      </c>
    </row>
    <row r="22" spans="2:17">
      <c r="B22" s="1404"/>
      <c r="C22" s="1409" t="s">
        <v>286</v>
      </c>
      <c r="D22" s="1406" t="s">
        <v>1819</v>
      </c>
      <c r="E22" s="1400"/>
      <c r="F22" s="1400"/>
      <c r="G22" s="1407"/>
      <c r="H22" s="1408"/>
      <c r="Q22" s="1365" t="str">
        <f t="shared" si="0"/>
        <v>※</v>
      </c>
    </row>
    <row r="23" spans="2:17">
      <c r="B23" s="1404"/>
      <c r="C23" s="1424"/>
      <c r="D23" s="1411" t="s">
        <v>1820</v>
      </c>
      <c r="E23" s="1412" t="s">
        <v>1821</v>
      </c>
      <c r="F23" s="1412"/>
      <c r="G23" s="1413"/>
      <c r="H23" s="1414"/>
      <c r="Q23" s="1365" t="str">
        <f t="shared" si="0"/>
        <v>※</v>
      </c>
    </row>
    <row r="24" spans="2:17">
      <c r="B24" s="1404"/>
      <c r="C24" s="1419"/>
      <c r="D24" s="1425" t="s">
        <v>1814</v>
      </c>
      <c r="E24" s="1426" t="s">
        <v>1822</v>
      </c>
      <c r="F24" s="1426"/>
      <c r="G24" s="1427"/>
      <c r="H24" s="1428"/>
      <c r="Q24" s="1365" t="str">
        <f t="shared" si="0"/>
        <v>※</v>
      </c>
    </row>
    <row r="25" spans="2:17">
      <c r="B25" s="1404"/>
      <c r="C25" s="1409" t="s">
        <v>61</v>
      </c>
      <c r="D25" s="1400" t="s">
        <v>1823</v>
      </c>
      <c r="E25" s="1400"/>
      <c r="F25" s="1400"/>
      <c r="G25" s="1407"/>
      <c r="H25" s="1429"/>
      <c r="Q25" s="1365" t="str">
        <f t="shared" si="0"/>
        <v>※</v>
      </c>
    </row>
    <row r="26" spans="2:17">
      <c r="B26" s="1404"/>
      <c r="C26" s="1410"/>
      <c r="D26" s="1430" t="s">
        <v>1820</v>
      </c>
      <c r="E26" s="1400" t="s">
        <v>1824</v>
      </c>
      <c r="F26" s="1400"/>
      <c r="G26" s="1407"/>
      <c r="H26" s="1414"/>
      <c r="Q26" s="1365" t="str">
        <f t="shared" si="0"/>
        <v>※</v>
      </c>
    </row>
    <row r="27" spans="2:17">
      <c r="B27" s="1404"/>
      <c r="C27" s="1410"/>
      <c r="D27" s="1431" t="s">
        <v>1814</v>
      </c>
      <c r="E27" s="1416" t="s">
        <v>1825</v>
      </c>
      <c r="F27" s="1416"/>
      <c r="G27" s="1417"/>
      <c r="H27" s="1418"/>
      <c r="Q27" s="1365" t="str">
        <f t="shared" si="0"/>
        <v>※</v>
      </c>
    </row>
    <row r="28" spans="2:17">
      <c r="B28" s="1432"/>
      <c r="C28" s="1433"/>
      <c r="D28" s="1434" t="s">
        <v>160</v>
      </c>
      <c r="E28" s="1421" t="s">
        <v>1826</v>
      </c>
      <c r="F28" s="1421"/>
      <c r="G28" s="1422"/>
      <c r="H28" s="1428"/>
      <c r="Q28" s="1365" t="str">
        <f t="shared" si="0"/>
        <v>※</v>
      </c>
    </row>
    <row r="29" spans="2:17">
      <c r="B29" s="1435" t="s">
        <v>291</v>
      </c>
      <c r="C29" s="1400" t="s">
        <v>1827</v>
      </c>
      <c r="D29" s="1400"/>
      <c r="E29" s="1406"/>
      <c r="F29" s="1406"/>
      <c r="G29" s="1436"/>
      <c r="H29" s="1437"/>
      <c r="Q29" s="1365" t="str">
        <f t="shared" si="0"/>
        <v>※</v>
      </c>
    </row>
    <row r="30" spans="2:17">
      <c r="B30" s="1404"/>
      <c r="C30" s="1409" t="s">
        <v>57</v>
      </c>
      <c r="D30" s="1400" t="s">
        <v>1828</v>
      </c>
      <c r="E30" s="1406"/>
      <c r="F30" s="1400"/>
      <c r="G30" s="1407"/>
      <c r="H30" s="1408"/>
      <c r="J30" s="1646" t="s">
        <v>1561</v>
      </c>
      <c r="K30" s="1646" t="s">
        <v>5401</v>
      </c>
      <c r="Q30" s="1365" t="str">
        <f t="shared" si="0"/>
        <v>※</v>
      </c>
    </row>
    <row r="31" spans="2:17">
      <c r="B31" s="1404"/>
      <c r="C31" s="1438"/>
      <c r="D31" s="1409" t="s">
        <v>1813</v>
      </c>
      <c r="E31" s="1406" t="s">
        <v>878</v>
      </c>
      <c r="F31" s="1406"/>
      <c r="G31" s="1436"/>
      <c r="H31" s="1437"/>
      <c r="J31" s="1645"/>
      <c r="K31" s="1645"/>
      <c r="Q31" s="1365" t="str">
        <f t="shared" si="0"/>
        <v>※</v>
      </c>
    </row>
    <row r="32" spans="2:17">
      <c r="B32" s="1404"/>
      <c r="C32" s="1438"/>
      <c r="D32" s="1424"/>
      <c r="E32" s="1409" t="s">
        <v>1829</v>
      </c>
      <c r="F32" s="1412" t="s">
        <v>1830</v>
      </c>
      <c r="G32" s="1413"/>
      <c r="H32" s="1439"/>
      <c r="J32" s="1645"/>
      <c r="K32" s="1645"/>
      <c r="Q32" s="1365" t="str">
        <f t="shared" si="0"/>
        <v>※</v>
      </c>
    </row>
    <row r="33" spans="2:17">
      <c r="B33" s="1404"/>
      <c r="C33" s="1438"/>
      <c r="D33" s="1424"/>
      <c r="E33" s="1424"/>
      <c r="F33" s="1440">
        <v>1</v>
      </c>
      <c r="G33" s="1417" t="s">
        <v>784</v>
      </c>
      <c r="H33" s="1441"/>
      <c r="I33" s="1329"/>
      <c r="J33" s="1647" t="s">
        <v>827</v>
      </c>
      <c r="K33" s="1647" t="s">
        <v>5402</v>
      </c>
      <c r="Q33" s="1365" t="str">
        <f t="shared" si="0"/>
        <v>※</v>
      </c>
    </row>
    <row r="34" spans="2:17">
      <c r="B34" s="1404"/>
      <c r="C34" s="1438"/>
      <c r="D34" s="1424"/>
      <c r="E34" s="1424"/>
      <c r="F34" s="1440">
        <v>2</v>
      </c>
      <c r="G34" s="1417" t="s">
        <v>785</v>
      </c>
      <c r="H34" s="1441"/>
      <c r="J34" s="1647" t="s">
        <v>5402</v>
      </c>
      <c r="K34" s="1647" t="s">
        <v>827</v>
      </c>
      <c r="Q34" s="1365" t="str">
        <f t="shared" si="0"/>
        <v>※</v>
      </c>
    </row>
    <row r="35" spans="2:17">
      <c r="B35" s="1404"/>
      <c r="C35" s="1438"/>
      <c r="D35" s="1424"/>
      <c r="E35" s="1424"/>
      <c r="F35" s="1440">
        <v>3</v>
      </c>
      <c r="G35" s="1417" t="s">
        <v>786</v>
      </c>
      <c r="H35" s="1441"/>
      <c r="J35" s="1647" t="s">
        <v>827</v>
      </c>
      <c r="K35" s="1647" t="s">
        <v>5402</v>
      </c>
      <c r="Q35" s="1365" t="str">
        <f t="shared" si="0"/>
        <v>※</v>
      </c>
    </row>
    <row r="36" spans="2:17">
      <c r="B36" s="1404"/>
      <c r="C36" s="1438"/>
      <c r="D36" s="1424"/>
      <c r="E36" s="1424"/>
      <c r="F36" s="1440">
        <v>4</v>
      </c>
      <c r="G36" s="1417" t="s">
        <v>35</v>
      </c>
      <c r="H36" s="1441"/>
      <c r="J36" s="1647" t="s">
        <v>827</v>
      </c>
      <c r="K36" s="1647" t="s">
        <v>5402</v>
      </c>
      <c r="Q36" s="1365" t="str">
        <f t="shared" si="0"/>
        <v>※</v>
      </c>
    </row>
    <row r="37" spans="2:17">
      <c r="B37" s="1404"/>
      <c r="C37" s="1438"/>
      <c r="D37" s="1424"/>
      <c r="E37" s="1424"/>
      <c r="F37" s="1440">
        <v>5</v>
      </c>
      <c r="G37" s="1417" t="s">
        <v>596</v>
      </c>
      <c r="H37" s="1441"/>
      <c r="J37" s="1647" t="s">
        <v>827</v>
      </c>
      <c r="K37" s="1647" t="s">
        <v>5402</v>
      </c>
      <c r="Q37" s="1365" t="str">
        <f t="shared" si="0"/>
        <v>※</v>
      </c>
    </row>
    <row r="38" spans="2:17">
      <c r="B38" s="1404"/>
      <c r="C38" s="1438"/>
      <c r="D38" s="1424"/>
      <c r="E38" s="1424"/>
      <c r="F38" s="1440">
        <v>6</v>
      </c>
      <c r="G38" s="1417" t="s">
        <v>36</v>
      </c>
      <c r="H38" s="1441"/>
      <c r="J38" s="1647" t="s">
        <v>827</v>
      </c>
      <c r="K38" s="1647" t="s">
        <v>5402</v>
      </c>
      <c r="Q38" s="1365" t="str">
        <f t="shared" si="0"/>
        <v>※</v>
      </c>
    </row>
    <row r="39" spans="2:17">
      <c r="B39" s="1404"/>
      <c r="C39" s="1438"/>
      <c r="D39" s="1424"/>
      <c r="E39" s="1424"/>
      <c r="F39" s="1440">
        <v>7</v>
      </c>
      <c r="G39" s="1417" t="s">
        <v>774</v>
      </c>
      <c r="H39" s="1441"/>
      <c r="J39" s="1647" t="s">
        <v>5402</v>
      </c>
      <c r="K39" s="1647" t="s">
        <v>827</v>
      </c>
      <c r="Q39" s="1365" t="str">
        <f t="shared" si="0"/>
        <v>※</v>
      </c>
    </row>
    <row r="40" spans="2:17">
      <c r="B40" s="1404"/>
      <c r="C40" s="1438"/>
      <c r="D40" s="1424"/>
      <c r="E40" s="1424"/>
      <c r="F40" s="1440">
        <v>8</v>
      </c>
      <c r="G40" s="1417" t="s">
        <v>1716</v>
      </c>
      <c r="H40" s="1441"/>
      <c r="J40" s="1647" t="s">
        <v>827</v>
      </c>
      <c r="K40" s="1647" t="s">
        <v>5402</v>
      </c>
      <c r="Q40" s="1365" t="str">
        <f t="shared" si="0"/>
        <v>※</v>
      </c>
    </row>
    <row r="41" spans="2:17">
      <c r="B41" s="1404"/>
      <c r="C41" s="1438"/>
      <c r="D41" s="1424"/>
      <c r="E41" s="1424"/>
      <c r="F41" s="1440">
        <v>9</v>
      </c>
      <c r="G41" s="1417" t="s">
        <v>1717</v>
      </c>
      <c r="H41" s="1441"/>
      <c r="J41" s="1647" t="s">
        <v>827</v>
      </c>
      <c r="K41" s="1647" t="s">
        <v>5402</v>
      </c>
      <c r="Q41" s="1365" t="str">
        <f t="shared" si="0"/>
        <v>※</v>
      </c>
    </row>
    <row r="42" spans="2:17">
      <c r="B42" s="1404"/>
      <c r="C42" s="1438"/>
      <c r="D42" s="1424"/>
      <c r="E42" s="1424"/>
      <c r="F42" s="1440">
        <v>10</v>
      </c>
      <c r="G42" s="1417" t="s">
        <v>1718</v>
      </c>
      <c r="H42" s="1441"/>
      <c r="J42" s="1647" t="s">
        <v>827</v>
      </c>
      <c r="K42" s="1647" t="s">
        <v>5402</v>
      </c>
      <c r="Q42" s="1365" t="str">
        <f t="shared" si="0"/>
        <v>※</v>
      </c>
    </row>
    <row r="43" spans="2:17">
      <c r="B43" s="1404"/>
      <c r="C43" s="1438"/>
      <c r="D43" s="1424"/>
      <c r="E43" s="1424"/>
      <c r="F43" s="1440">
        <v>11</v>
      </c>
      <c r="G43" s="1417" t="s">
        <v>1719</v>
      </c>
      <c r="H43" s="1441"/>
      <c r="J43" s="1647" t="s">
        <v>5402</v>
      </c>
      <c r="K43" s="1647" t="s">
        <v>827</v>
      </c>
      <c r="Q43" s="1365" t="str">
        <f t="shared" si="0"/>
        <v>※</v>
      </c>
    </row>
    <row r="44" spans="2:17">
      <c r="B44" s="1404"/>
      <c r="C44" s="1438"/>
      <c r="D44" s="1424"/>
      <c r="E44" s="1424"/>
      <c r="F44" s="1440">
        <v>12</v>
      </c>
      <c r="G44" s="1417" t="s">
        <v>1720</v>
      </c>
      <c r="H44" s="1441"/>
      <c r="J44" s="1647" t="s">
        <v>827</v>
      </c>
      <c r="K44" s="1647" t="s">
        <v>5402</v>
      </c>
      <c r="Q44" s="1365" t="str">
        <f t="shared" si="0"/>
        <v>※</v>
      </c>
    </row>
    <row r="45" spans="2:17">
      <c r="B45" s="1404"/>
      <c r="C45" s="1438"/>
      <c r="D45" s="1424"/>
      <c r="E45" s="1424"/>
      <c r="F45" s="1440">
        <v>13</v>
      </c>
      <c r="G45" s="1417" t="s">
        <v>382</v>
      </c>
      <c r="H45" s="1441"/>
      <c r="J45" s="1647" t="s">
        <v>5402</v>
      </c>
      <c r="K45" s="1647" t="s">
        <v>827</v>
      </c>
      <c r="Q45" s="1365" t="str">
        <f t="shared" si="0"/>
        <v>※</v>
      </c>
    </row>
    <row r="46" spans="2:17">
      <c r="B46" s="1404"/>
      <c r="C46" s="1438"/>
      <c r="D46" s="1424"/>
      <c r="E46" s="1424"/>
      <c r="F46" s="1440">
        <v>14</v>
      </c>
      <c r="G46" s="1417" t="s">
        <v>381</v>
      </c>
      <c r="H46" s="1441"/>
      <c r="J46" s="1647" t="s">
        <v>827</v>
      </c>
      <c r="K46" s="1647" t="s">
        <v>5402</v>
      </c>
      <c r="Q46" s="1365" t="str">
        <f t="shared" si="0"/>
        <v>※</v>
      </c>
    </row>
    <row r="47" spans="2:17">
      <c r="B47" s="1404"/>
      <c r="C47" s="1438"/>
      <c r="D47" s="1424"/>
      <c r="E47" s="1442" t="s">
        <v>1831</v>
      </c>
      <c r="F47" s="1443" t="s">
        <v>208</v>
      </c>
      <c r="G47" s="1444"/>
      <c r="H47" s="1445"/>
      <c r="J47" s="1648"/>
      <c r="K47" s="1648"/>
      <c r="Q47" s="1365" t="str">
        <f t="shared" si="0"/>
        <v>※</v>
      </c>
    </row>
    <row r="48" spans="2:17">
      <c r="B48" s="1404"/>
      <c r="C48" s="1438"/>
      <c r="D48" s="1424"/>
      <c r="E48" s="1424"/>
      <c r="F48" s="1446" t="s">
        <v>1832</v>
      </c>
      <c r="G48" s="1417" t="s">
        <v>406</v>
      </c>
      <c r="H48" s="1447"/>
      <c r="I48" s="1329"/>
      <c r="J48" s="1647" t="s">
        <v>827</v>
      </c>
      <c r="K48" s="1647" t="s">
        <v>5402</v>
      </c>
      <c r="Q48" s="1365" t="str">
        <f t="shared" si="0"/>
        <v>※</v>
      </c>
    </row>
    <row r="49" spans="2:17">
      <c r="B49" s="1404"/>
      <c r="C49" s="1438"/>
      <c r="D49" s="1424"/>
      <c r="E49" s="1448"/>
      <c r="F49" s="1446" t="s">
        <v>1833</v>
      </c>
      <c r="G49" s="1417" t="s">
        <v>51</v>
      </c>
      <c r="H49" s="1445"/>
      <c r="J49" s="1647" t="s">
        <v>827</v>
      </c>
      <c r="K49" s="1647" t="s">
        <v>5402</v>
      </c>
      <c r="Q49" s="1365" t="str">
        <f t="shared" si="0"/>
        <v>※</v>
      </c>
    </row>
    <row r="50" spans="2:17">
      <c r="B50" s="1404"/>
      <c r="C50" s="1438"/>
      <c r="D50" s="1424"/>
      <c r="E50" s="1424"/>
      <c r="F50" s="1449" t="s">
        <v>1834</v>
      </c>
      <c r="G50" s="1444" t="s">
        <v>405</v>
      </c>
      <c r="H50" s="1441"/>
      <c r="J50" s="1647" t="s">
        <v>827</v>
      </c>
      <c r="K50" s="1647" t="s">
        <v>5402</v>
      </c>
      <c r="Q50" s="1365" t="str">
        <f t="shared" si="0"/>
        <v>※</v>
      </c>
    </row>
    <row r="51" spans="2:17">
      <c r="B51" s="1404"/>
      <c r="C51" s="1438"/>
      <c r="D51" s="1424"/>
      <c r="E51" s="1450"/>
      <c r="F51" s="1446" t="s">
        <v>1835</v>
      </c>
      <c r="G51" s="1417" t="s">
        <v>398</v>
      </c>
      <c r="H51" s="1441"/>
      <c r="J51" s="1647" t="s">
        <v>827</v>
      </c>
      <c r="K51" s="1647" t="s">
        <v>5402</v>
      </c>
      <c r="Q51" s="1365" t="str">
        <f t="shared" si="0"/>
        <v>※</v>
      </c>
    </row>
    <row r="52" spans="2:17">
      <c r="B52" s="1404"/>
      <c r="C52" s="1451"/>
      <c r="D52" s="1424"/>
      <c r="E52" s="1424" t="s">
        <v>1836</v>
      </c>
      <c r="F52" s="1452" t="s">
        <v>209</v>
      </c>
      <c r="G52" s="1453"/>
      <c r="H52" s="1429"/>
      <c r="J52" s="1645"/>
      <c r="K52" s="1645"/>
      <c r="Q52" s="1365" t="str">
        <f t="shared" si="0"/>
        <v>※</v>
      </c>
    </row>
    <row r="53" spans="2:17">
      <c r="B53" s="1404"/>
      <c r="C53" s="1451"/>
      <c r="D53" s="1424"/>
      <c r="E53" s="1424"/>
      <c r="F53" s="1446" t="s">
        <v>1832</v>
      </c>
      <c r="G53" s="1417" t="s">
        <v>406</v>
      </c>
      <c r="H53" s="1441"/>
      <c r="I53" s="1329"/>
      <c r="J53" s="1647" t="s">
        <v>5402</v>
      </c>
      <c r="K53" s="1647" t="s">
        <v>827</v>
      </c>
      <c r="Q53" s="1365" t="str">
        <f t="shared" si="0"/>
        <v>※</v>
      </c>
    </row>
    <row r="54" spans="2:17">
      <c r="B54" s="1404"/>
      <c r="C54" s="1451"/>
      <c r="D54" s="1424"/>
      <c r="E54" s="1424"/>
      <c r="F54" s="1446" t="s">
        <v>1833</v>
      </c>
      <c r="G54" s="1417" t="s">
        <v>51</v>
      </c>
      <c r="H54" s="1441"/>
      <c r="J54" s="1647" t="s">
        <v>5402</v>
      </c>
      <c r="K54" s="1647" t="s">
        <v>827</v>
      </c>
      <c r="Q54" s="1365" t="str">
        <f t="shared" si="0"/>
        <v>※</v>
      </c>
    </row>
    <row r="55" spans="2:17" s="1669" customFormat="1">
      <c r="B55" s="1404"/>
      <c r="C55" s="1451"/>
      <c r="D55" s="1424"/>
      <c r="E55" s="1424"/>
      <c r="F55" s="1446" t="s">
        <v>5434</v>
      </c>
      <c r="G55" s="1417" t="s">
        <v>1724</v>
      </c>
      <c r="H55" s="1441"/>
      <c r="J55" s="1647" t="s">
        <v>5402</v>
      </c>
      <c r="K55" s="1647" t="s">
        <v>827</v>
      </c>
      <c r="Q55" s="1365"/>
    </row>
    <row r="56" spans="2:17" s="1669" customFormat="1">
      <c r="B56" s="1404"/>
      <c r="C56" s="1451"/>
      <c r="D56" s="1424"/>
      <c r="E56" s="1424"/>
      <c r="F56" s="1446" t="s">
        <v>5435</v>
      </c>
      <c r="G56" s="1417" t="s">
        <v>5436</v>
      </c>
      <c r="H56" s="1441"/>
      <c r="J56" s="1647" t="s">
        <v>5402</v>
      </c>
      <c r="K56" s="1647" t="s">
        <v>827</v>
      </c>
      <c r="Q56" s="1365"/>
    </row>
    <row r="57" spans="2:17">
      <c r="B57" s="1404"/>
      <c r="C57" s="1451"/>
      <c r="D57" s="1419"/>
      <c r="E57" s="1454"/>
      <c r="F57" s="1674" t="s">
        <v>5437</v>
      </c>
      <c r="G57" s="1427" t="s">
        <v>5438</v>
      </c>
      <c r="H57" s="1479"/>
      <c r="J57" s="1647" t="s">
        <v>5402</v>
      </c>
      <c r="K57" s="1647" t="s">
        <v>827</v>
      </c>
      <c r="Q57" s="1365" t="str">
        <f t="shared" si="0"/>
        <v>※</v>
      </c>
    </row>
    <row r="58" spans="2:17">
      <c r="B58" s="1404"/>
      <c r="C58" s="1451"/>
      <c r="D58" s="1424" t="s">
        <v>454</v>
      </c>
      <c r="E58" s="1421" t="s">
        <v>704</v>
      </c>
      <c r="F58" s="1421"/>
      <c r="G58" s="1422"/>
      <c r="H58" s="1429"/>
      <c r="Q58" s="1365" t="str">
        <f t="shared" si="0"/>
        <v>※</v>
      </c>
    </row>
    <row r="59" spans="2:17">
      <c r="B59" s="1404"/>
      <c r="C59" s="1438"/>
      <c r="D59" s="1424"/>
      <c r="E59" s="1411" t="s">
        <v>1829</v>
      </c>
      <c r="F59" s="1412" t="s">
        <v>1727</v>
      </c>
      <c r="G59" s="1413"/>
      <c r="H59" s="1414"/>
      <c r="J59" s="1647" t="s">
        <v>827</v>
      </c>
      <c r="K59" s="1647" t="s">
        <v>5402</v>
      </c>
      <c r="Q59" s="1365" t="str">
        <f t="shared" si="0"/>
        <v>※</v>
      </c>
    </row>
    <row r="60" spans="2:17">
      <c r="B60" s="1404"/>
      <c r="C60" s="1451"/>
      <c r="D60" s="1419"/>
      <c r="E60" s="1425" t="s">
        <v>1837</v>
      </c>
      <c r="F60" s="1426" t="s">
        <v>825</v>
      </c>
      <c r="G60" s="1456"/>
      <c r="H60" s="1428"/>
      <c r="J60" s="1647" t="s">
        <v>5402</v>
      </c>
      <c r="K60" s="1647" t="s">
        <v>827</v>
      </c>
      <c r="Q60" s="1365" t="str">
        <f t="shared" si="0"/>
        <v>※</v>
      </c>
    </row>
    <row r="61" spans="2:17">
      <c r="B61" s="1404"/>
      <c r="C61" s="1438"/>
      <c r="D61" s="1405" t="s">
        <v>1838</v>
      </c>
      <c r="E61" s="1406" t="s">
        <v>1728</v>
      </c>
      <c r="F61" s="1406"/>
      <c r="G61" s="1436"/>
      <c r="H61" s="1455"/>
      <c r="J61" s="1647" t="s">
        <v>5402</v>
      </c>
      <c r="K61" s="1649" t="s">
        <v>827</v>
      </c>
      <c r="Q61" s="1365" t="str">
        <f t="shared" si="0"/>
        <v>※</v>
      </c>
    </row>
    <row r="62" spans="2:17">
      <c r="B62" s="1404"/>
      <c r="C62" s="1438"/>
      <c r="D62" s="1409" t="s">
        <v>455</v>
      </c>
      <c r="E62" s="1406" t="s">
        <v>705</v>
      </c>
      <c r="F62" s="1406"/>
      <c r="G62" s="1436"/>
      <c r="H62" s="1437"/>
      <c r="Q62" s="1365" t="str">
        <f t="shared" si="0"/>
        <v>※</v>
      </c>
    </row>
    <row r="63" spans="2:17" ht="43.5" customHeight="1">
      <c r="B63" s="1404"/>
      <c r="C63" s="1438"/>
      <c r="D63" s="1438"/>
      <c r="E63" s="1457"/>
      <c r="F63" s="1458" t="s">
        <v>1839</v>
      </c>
      <c r="G63" s="1459"/>
      <c r="H63" s="1394"/>
      <c r="Q63" s="1365" t="str">
        <f t="shared" si="0"/>
        <v>※</v>
      </c>
    </row>
    <row r="64" spans="2:17">
      <c r="B64" s="1404"/>
      <c r="C64" s="1438"/>
      <c r="D64" s="1451"/>
      <c r="E64" s="1409" t="s">
        <v>1840</v>
      </c>
      <c r="F64" s="1400" t="s">
        <v>56</v>
      </c>
      <c r="G64" s="1407"/>
      <c r="H64" s="1414"/>
      <c r="I64" s="1329"/>
      <c r="Q64" s="1365" t="str">
        <f>IF($H64="","※","")</f>
        <v>※</v>
      </c>
    </row>
    <row r="65" spans="2:17" ht="22.5">
      <c r="B65" s="1404"/>
      <c r="C65" s="1438"/>
      <c r="D65" s="1451"/>
      <c r="E65" s="1460"/>
      <c r="F65" s="1461" t="s">
        <v>1832</v>
      </c>
      <c r="G65" s="1462" t="s">
        <v>1841</v>
      </c>
      <c r="H65" s="1463"/>
      <c r="J65" s="1650" t="s">
        <v>827</v>
      </c>
      <c r="K65" s="1650" t="s">
        <v>5402</v>
      </c>
      <c r="Q65" s="1365" t="str">
        <f t="shared" si="0"/>
        <v>※</v>
      </c>
    </row>
    <row r="66" spans="2:17">
      <c r="B66" s="1404"/>
      <c r="C66" s="1438"/>
      <c r="D66" s="1451"/>
      <c r="E66" s="1460"/>
      <c r="F66" s="1461" t="s">
        <v>1833</v>
      </c>
      <c r="G66" s="1462" t="s">
        <v>1842</v>
      </c>
      <c r="H66" s="1463"/>
      <c r="J66" s="1650" t="s">
        <v>827</v>
      </c>
      <c r="K66" s="1650" t="s">
        <v>5402</v>
      </c>
      <c r="Q66" s="1365" t="str">
        <f t="shared" si="0"/>
        <v>※</v>
      </c>
    </row>
    <row r="67" spans="2:17" ht="31.5">
      <c r="B67" s="1404"/>
      <c r="C67" s="1438"/>
      <c r="D67" s="1451"/>
      <c r="E67" s="1460"/>
      <c r="F67" s="1461" t="s">
        <v>1834</v>
      </c>
      <c r="G67" s="1464" t="s">
        <v>5431</v>
      </c>
      <c r="H67" s="1463"/>
      <c r="J67" s="1650" t="s">
        <v>827</v>
      </c>
      <c r="K67" s="1650" t="s">
        <v>5402</v>
      </c>
      <c r="Q67" s="1365" t="str">
        <f>IF($H67="","※","")</f>
        <v>※</v>
      </c>
    </row>
    <row r="68" spans="2:17" ht="22.5">
      <c r="B68" s="1404"/>
      <c r="C68" s="1438"/>
      <c r="D68" s="1451"/>
      <c r="E68" s="1460"/>
      <c r="F68" s="1461" t="s">
        <v>1835</v>
      </c>
      <c r="G68" s="1462" t="s">
        <v>1843</v>
      </c>
      <c r="H68" s="1463"/>
      <c r="J68" s="821" t="s">
        <v>37</v>
      </c>
      <c r="K68" s="821" t="s">
        <v>827</v>
      </c>
      <c r="Q68" s="1365" t="str">
        <f t="shared" si="0"/>
        <v>※</v>
      </c>
    </row>
    <row r="69" spans="2:17">
      <c r="B69" s="1404"/>
      <c r="C69" s="1438"/>
      <c r="D69" s="1451"/>
      <c r="E69" s="1460"/>
      <c r="F69" s="1461" t="s">
        <v>1844</v>
      </c>
      <c r="G69" s="1462" t="s">
        <v>1845</v>
      </c>
      <c r="H69" s="1463"/>
      <c r="J69" s="1650" t="s">
        <v>827</v>
      </c>
      <c r="K69" s="1650" t="s">
        <v>5402</v>
      </c>
      <c r="Q69" s="1365" t="str">
        <f t="shared" si="0"/>
        <v>※</v>
      </c>
    </row>
    <row r="70" spans="2:17">
      <c r="B70" s="1404"/>
      <c r="C70" s="1438"/>
      <c r="D70" s="1451"/>
      <c r="E70" s="1460"/>
      <c r="F70" s="1461" t="s">
        <v>1846</v>
      </c>
      <c r="G70" s="1462" t="s">
        <v>1848</v>
      </c>
      <c r="H70" s="1463"/>
      <c r="J70" s="1650" t="s">
        <v>827</v>
      </c>
      <c r="K70" s="1650" t="s">
        <v>5402</v>
      </c>
      <c r="Q70" s="1365" t="str">
        <f t="shared" si="0"/>
        <v>※</v>
      </c>
    </row>
    <row r="71" spans="2:17" s="1664" customFormat="1">
      <c r="B71" s="1404"/>
      <c r="C71" s="1438"/>
      <c r="D71" s="1451"/>
      <c r="E71" s="1460"/>
      <c r="F71" s="1461" t="s">
        <v>1847</v>
      </c>
      <c r="G71" s="1462" t="s">
        <v>5432</v>
      </c>
      <c r="H71" s="1463"/>
      <c r="J71" s="1650" t="s">
        <v>827</v>
      </c>
      <c r="K71" s="1650" t="s">
        <v>5402</v>
      </c>
      <c r="Q71" s="1365"/>
    </row>
    <row r="72" spans="2:17" s="1651" customFormat="1" ht="24" customHeight="1">
      <c r="B72" s="1404"/>
      <c r="C72" s="1438"/>
      <c r="D72" s="1451"/>
      <c r="E72" s="1460"/>
      <c r="F72" s="1461" t="s">
        <v>5440</v>
      </c>
      <c r="G72" s="1462" t="s">
        <v>5433</v>
      </c>
      <c r="H72" s="1463"/>
      <c r="J72" s="1650" t="s">
        <v>827</v>
      </c>
      <c r="K72" s="1650" t="s">
        <v>5402</v>
      </c>
      <c r="Q72" s="1365"/>
    </row>
    <row r="73" spans="2:17">
      <c r="B73" s="1404"/>
      <c r="C73" s="1438"/>
      <c r="D73" s="1451"/>
      <c r="E73" s="1460"/>
      <c r="F73" s="1465" t="s">
        <v>5422</v>
      </c>
      <c r="G73" s="1466" t="s">
        <v>1849</v>
      </c>
      <c r="H73" s="1467"/>
      <c r="J73" s="1650" t="s">
        <v>827</v>
      </c>
      <c r="K73" s="1650" t="s">
        <v>5402</v>
      </c>
      <c r="Q73" s="1365" t="str">
        <f t="shared" si="0"/>
        <v>※</v>
      </c>
    </row>
    <row r="74" spans="2:17" ht="22.5">
      <c r="B74" s="1404"/>
      <c r="C74" s="1438"/>
      <c r="D74" s="1451"/>
      <c r="E74" s="1460"/>
      <c r="F74" s="1465" t="s">
        <v>5405</v>
      </c>
      <c r="G74" s="1466" t="s">
        <v>1939</v>
      </c>
      <c r="H74" s="1467"/>
      <c r="J74" s="1650" t="s">
        <v>827</v>
      </c>
      <c r="K74" s="1650" t="s">
        <v>5402</v>
      </c>
      <c r="Q74" s="1365" t="str">
        <f t="shared" si="0"/>
        <v>※</v>
      </c>
    </row>
    <row r="75" spans="2:17">
      <c r="B75" s="1404"/>
      <c r="C75" s="1438"/>
      <c r="D75" s="1410"/>
      <c r="E75" s="1415" t="s">
        <v>1764</v>
      </c>
      <c r="F75" s="1416" t="s">
        <v>617</v>
      </c>
      <c r="G75" s="1417"/>
      <c r="H75" s="1418"/>
      <c r="J75" s="1647" t="s">
        <v>5402</v>
      </c>
      <c r="K75" s="1650" t="s">
        <v>827</v>
      </c>
      <c r="Q75" s="1365" t="str">
        <f t="shared" si="0"/>
        <v>※</v>
      </c>
    </row>
    <row r="76" spans="2:17">
      <c r="B76" s="1404"/>
      <c r="C76" s="1438"/>
      <c r="D76" s="1410"/>
      <c r="E76" s="1442" t="s">
        <v>1765</v>
      </c>
      <c r="F76" s="1416" t="s">
        <v>1940</v>
      </c>
      <c r="G76" s="1417"/>
      <c r="H76" s="1418"/>
      <c r="J76" s="1647" t="s">
        <v>5402</v>
      </c>
      <c r="K76" s="1650" t="s">
        <v>827</v>
      </c>
      <c r="Q76" s="1365" t="str">
        <f t="shared" ref="Q76:Q147" si="1">IF($H76="","※","")</f>
        <v>※</v>
      </c>
    </row>
    <row r="77" spans="2:17" s="1638" customFormat="1">
      <c r="B77" s="1404"/>
      <c r="C77" s="1438"/>
      <c r="D77" s="1410"/>
      <c r="E77" s="1442" t="s">
        <v>1766</v>
      </c>
      <c r="F77" s="1416" t="s">
        <v>5384</v>
      </c>
      <c r="G77" s="1417"/>
      <c r="H77" s="1418"/>
      <c r="J77" s="1647" t="s">
        <v>5402</v>
      </c>
      <c r="K77" s="1650" t="s">
        <v>827</v>
      </c>
      <c r="Q77" s="1365" t="str">
        <f t="shared" si="1"/>
        <v>※</v>
      </c>
    </row>
    <row r="78" spans="2:17">
      <c r="B78" s="1404"/>
      <c r="C78" s="1438"/>
      <c r="D78" s="1410"/>
      <c r="E78" s="1468"/>
      <c r="F78" s="1469" t="s">
        <v>825</v>
      </c>
      <c r="G78" s="1358"/>
      <c r="H78" s="1418"/>
      <c r="J78" s="1647" t="s">
        <v>5402</v>
      </c>
      <c r="K78" s="1650" t="s">
        <v>827</v>
      </c>
      <c r="Q78" s="1365" t="str">
        <f t="shared" si="1"/>
        <v>※</v>
      </c>
    </row>
    <row r="79" spans="2:17">
      <c r="B79" s="1404"/>
      <c r="C79" s="1438"/>
      <c r="D79" s="1410"/>
      <c r="E79" s="1424" t="s">
        <v>1855</v>
      </c>
      <c r="F79" s="1469" t="s">
        <v>825</v>
      </c>
      <c r="G79" s="1358"/>
      <c r="H79" s="1418"/>
      <c r="J79" s="1647" t="s">
        <v>5402</v>
      </c>
      <c r="K79" s="1650" t="s">
        <v>827</v>
      </c>
      <c r="Q79" s="1365" t="str">
        <f t="shared" si="1"/>
        <v>※</v>
      </c>
    </row>
    <row r="80" spans="2:17" ht="13.5" customHeight="1">
      <c r="B80" s="1404"/>
      <c r="C80" s="1438"/>
      <c r="D80" s="1410"/>
      <c r="E80" s="1470"/>
      <c r="F80" s="1471" t="s">
        <v>825</v>
      </c>
      <c r="G80" s="1359"/>
      <c r="H80" s="1418"/>
      <c r="J80" s="1647" t="s">
        <v>5402</v>
      </c>
      <c r="K80" s="1650" t="s">
        <v>827</v>
      </c>
      <c r="Q80" s="1365" t="str">
        <f t="shared" si="1"/>
        <v>※</v>
      </c>
    </row>
    <row r="81" spans="2:17">
      <c r="B81" s="1404"/>
      <c r="C81" s="1438"/>
      <c r="D81" s="1409" t="s">
        <v>456</v>
      </c>
      <c r="E81" s="1406" t="s">
        <v>706</v>
      </c>
      <c r="F81" s="1406"/>
      <c r="G81" s="1436"/>
      <c r="H81" s="1429"/>
      <c r="Q81" s="1365" t="str">
        <f t="shared" si="1"/>
        <v>※</v>
      </c>
    </row>
    <row r="82" spans="2:17">
      <c r="B82" s="1404"/>
      <c r="C82" s="1438"/>
      <c r="D82" s="1410"/>
      <c r="E82" s="1411" t="s">
        <v>1829</v>
      </c>
      <c r="F82" s="1412" t="s">
        <v>1748</v>
      </c>
      <c r="G82" s="1413"/>
      <c r="H82" s="1414"/>
      <c r="J82" s="1647" t="s">
        <v>5402</v>
      </c>
      <c r="K82" s="1650" t="s">
        <v>827</v>
      </c>
      <c r="Q82" s="1365" t="str">
        <f t="shared" si="1"/>
        <v>※</v>
      </c>
    </row>
    <row r="83" spans="2:17">
      <c r="B83" s="1404"/>
      <c r="C83" s="1438"/>
      <c r="D83" s="1410"/>
      <c r="E83" s="1425" t="s">
        <v>1837</v>
      </c>
      <c r="F83" s="1426" t="s">
        <v>1749</v>
      </c>
      <c r="G83" s="1427"/>
      <c r="H83" s="1428"/>
      <c r="J83" s="1647" t="s">
        <v>5402</v>
      </c>
      <c r="K83" s="1650" t="s">
        <v>827</v>
      </c>
      <c r="Q83" s="1365" t="str">
        <f t="shared" si="1"/>
        <v>※</v>
      </c>
    </row>
    <row r="84" spans="2:17">
      <c r="B84" s="1404"/>
      <c r="C84" s="1438"/>
      <c r="D84" s="1409" t="s">
        <v>457</v>
      </c>
      <c r="E84" s="1406" t="s">
        <v>622</v>
      </c>
      <c r="F84" s="1406"/>
      <c r="G84" s="1436"/>
      <c r="H84" s="1408"/>
      <c r="Q84" s="1365" t="str">
        <f t="shared" si="1"/>
        <v>※</v>
      </c>
    </row>
    <row r="85" spans="2:17">
      <c r="B85" s="1404"/>
      <c r="C85" s="1438"/>
      <c r="D85" s="1410"/>
      <c r="E85" s="1411" t="s">
        <v>1829</v>
      </c>
      <c r="F85" s="1412" t="s">
        <v>1750</v>
      </c>
      <c r="G85" s="1413"/>
      <c r="H85" s="1414"/>
      <c r="I85" s="1329"/>
      <c r="J85" s="1650" t="s">
        <v>827</v>
      </c>
      <c r="K85" s="1650" t="s">
        <v>5402</v>
      </c>
      <c r="Q85" s="1365" t="str">
        <f t="shared" si="1"/>
        <v>※</v>
      </c>
    </row>
    <row r="86" spans="2:17">
      <c r="B86" s="1404"/>
      <c r="C86" s="1438"/>
      <c r="D86" s="1410"/>
      <c r="E86" s="1415" t="s">
        <v>1831</v>
      </c>
      <c r="F86" s="1416" t="s">
        <v>1850</v>
      </c>
      <c r="G86" s="1417"/>
      <c r="H86" s="1418"/>
      <c r="J86" s="1647" t="s">
        <v>5402</v>
      </c>
      <c r="K86" s="1650" t="s">
        <v>827</v>
      </c>
      <c r="Q86" s="1365" t="str">
        <f t="shared" si="1"/>
        <v>※</v>
      </c>
    </row>
    <row r="87" spans="2:17">
      <c r="B87" s="1404"/>
      <c r="C87" s="1438"/>
      <c r="D87" s="1410"/>
      <c r="E87" s="1415" t="s">
        <v>1836</v>
      </c>
      <c r="F87" s="1416" t="s">
        <v>625</v>
      </c>
      <c r="G87" s="1417"/>
      <c r="H87" s="1418"/>
      <c r="J87" s="1647" t="s">
        <v>5402</v>
      </c>
      <c r="K87" s="1650" t="s">
        <v>827</v>
      </c>
      <c r="Q87" s="1365" t="str">
        <f t="shared" si="1"/>
        <v>※</v>
      </c>
    </row>
    <row r="88" spans="2:17">
      <c r="B88" s="1404"/>
      <c r="C88" s="1438"/>
      <c r="D88" s="1410"/>
      <c r="E88" s="1415" t="s">
        <v>1851</v>
      </c>
      <c r="F88" s="1416" t="s">
        <v>1753</v>
      </c>
      <c r="G88" s="1417"/>
      <c r="H88" s="1418"/>
      <c r="J88" s="1647" t="s">
        <v>5402</v>
      </c>
      <c r="K88" s="1650" t="s">
        <v>827</v>
      </c>
      <c r="Q88" s="1365" t="str">
        <f t="shared" si="1"/>
        <v>※</v>
      </c>
    </row>
    <row r="89" spans="2:17">
      <c r="B89" s="1404"/>
      <c r="C89" s="1438"/>
      <c r="D89" s="1410"/>
      <c r="E89" s="1415" t="s">
        <v>1852</v>
      </c>
      <c r="F89" s="1416" t="s">
        <v>1754</v>
      </c>
      <c r="G89" s="1417"/>
      <c r="H89" s="1418"/>
      <c r="J89" s="1647" t="s">
        <v>5402</v>
      </c>
      <c r="K89" s="1650" t="s">
        <v>827</v>
      </c>
      <c r="Q89" s="1365" t="str">
        <f t="shared" si="1"/>
        <v>※</v>
      </c>
    </row>
    <row r="90" spans="2:17">
      <c r="B90" s="1404"/>
      <c r="C90" s="1438"/>
      <c r="D90" s="1410"/>
      <c r="E90" s="1415" t="s">
        <v>1766</v>
      </c>
      <c r="F90" s="1416" t="s">
        <v>1853</v>
      </c>
      <c r="G90" s="1417"/>
      <c r="H90" s="1418"/>
      <c r="J90" s="1647" t="s">
        <v>5402</v>
      </c>
      <c r="K90" s="1650" t="s">
        <v>827</v>
      </c>
      <c r="Q90" s="1365" t="str">
        <f t="shared" si="1"/>
        <v>※</v>
      </c>
    </row>
    <row r="91" spans="2:17">
      <c r="B91" s="1404"/>
      <c r="C91" s="1438"/>
      <c r="D91" s="1433"/>
      <c r="E91" s="1442" t="s">
        <v>1767</v>
      </c>
      <c r="F91" s="1426" t="s">
        <v>709</v>
      </c>
      <c r="G91" s="1456"/>
      <c r="H91" s="1428"/>
      <c r="J91" s="1647" t="s">
        <v>5402</v>
      </c>
      <c r="K91" s="1650" t="s">
        <v>827</v>
      </c>
      <c r="Q91" s="1365" t="str">
        <f t="shared" si="1"/>
        <v>※</v>
      </c>
    </row>
    <row r="92" spans="2:17">
      <c r="B92" s="1404"/>
      <c r="C92" s="1438"/>
      <c r="D92" s="1409" t="s">
        <v>458</v>
      </c>
      <c r="E92" s="1406" t="s">
        <v>708</v>
      </c>
      <c r="F92" s="1406"/>
      <c r="G92" s="1436"/>
      <c r="H92" s="1429"/>
      <c r="Q92" s="1365" t="str">
        <f t="shared" si="1"/>
        <v>※</v>
      </c>
    </row>
    <row r="93" spans="2:17">
      <c r="B93" s="1404"/>
      <c r="C93" s="1438"/>
      <c r="D93" s="1451"/>
      <c r="E93" s="1409" t="s">
        <v>1829</v>
      </c>
      <c r="F93" s="1412" t="s">
        <v>917</v>
      </c>
      <c r="G93" s="1413"/>
      <c r="H93" s="1414"/>
      <c r="J93" s="1650" t="s">
        <v>827</v>
      </c>
      <c r="K93" s="1650" t="s">
        <v>5402</v>
      </c>
      <c r="Q93" s="1365" t="str">
        <f t="shared" si="1"/>
        <v>※</v>
      </c>
    </row>
    <row r="94" spans="2:17">
      <c r="B94" s="1404"/>
      <c r="C94" s="1438"/>
      <c r="D94" s="1451"/>
      <c r="E94" s="1442" t="s">
        <v>1837</v>
      </c>
      <c r="F94" s="1416" t="s">
        <v>249</v>
      </c>
      <c r="G94" s="1417"/>
      <c r="H94" s="1418"/>
      <c r="J94" s="1650" t="s">
        <v>827</v>
      </c>
      <c r="K94" s="1650" t="s">
        <v>5402</v>
      </c>
      <c r="Q94" s="1365" t="str">
        <f t="shared" si="1"/>
        <v>※</v>
      </c>
    </row>
    <row r="95" spans="2:17">
      <c r="B95" s="1404"/>
      <c r="C95" s="1438"/>
      <c r="D95" s="1451"/>
      <c r="E95" s="1415" t="s">
        <v>1854</v>
      </c>
      <c r="F95" s="1416" t="s">
        <v>1757</v>
      </c>
      <c r="G95" s="1417"/>
      <c r="H95" s="1418"/>
      <c r="J95" s="1650" t="s">
        <v>827</v>
      </c>
      <c r="K95" s="1650" t="s">
        <v>5402</v>
      </c>
      <c r="Q95" s="1365" t="str">
        <f t="shared" si="1"/>
        <v>※</v>
      </c>
    </row>
    <row r="96" spans="2:17">
      <c r="B96" s="1404"/>
      <c r="C96" s="1438"/>
      <c r="D96" s="1451"/>
      <c r="E96" s="1415" t="s">
        <v>1851</v>
      </c>
      <c r="F96" s="1416" t="s">
        <v>308</v>
      </c>
      <c r="G96" s="1417"/>
      <c r="H96" s="1418"/>
      <c r="J96" s="1650" t="s">
        <v>827</v>
      </c>
      <c r="K96" s="1650" t="s">
        <v>5402</v>
      </c>
      <c r="Q96" s="1365" t="str">
        <f t="shared" si="1"/>
        <v>※</v>
      </c>
    </row>
    <row r="97" spans="2:17">
      <c r="B97" s="1404"/>
      <c r="C97" s="1438"/>
      <c r="D97" s="1451"/>
      <c r="E97" s="1415" t="s">
        <v>1852</v>
      </c>
      <c r="F97" s="1416" t="s">
        <v>1758</v>
      </c>
      <c r="G97" s="1417"/>
      <c r="H97" s="1418"/>
      <c r="J97" s="1647" t="s">
        <v>5402</v>
      </c>
      <c r="K97" s="1650" t="s">
        <v>827</v>
      </c>
      <c r="Q97" s="1365" t="str">
        <f t="shared" si="1"/>
        <v>※</v>
      </c>
    </row>
    <row r="98" spans="2:17" s="1652" customFormat="1">
      <c r="B98" s="1404"/>
      <c r="C98" s="1438"/>
      <c r="D98" s="1451"/>
      <c r="E98" s="1415" t="s">
        <v>1941</v>
      </c>
      <c r="F98" s="1416" t="s">
        <v>5415</v>
      </c>
      <c r="G98" s="1417"/>
      <c r="H98" s="1418"/>
      <c r="J98" s="1650" t="s">
        <v>827</v>
      </c>
      <c r="K98" s="1650" t="s">
        <v>5402</v>
      </c>
      <c r="Q98" s="1365"/>
    </row>
    <row r="99" spans="2:17">
      <c r="B99" s="1404"/>
      <c r="C99" s="1438"/>
      <c r="D99" s="1451"/>
      <c r="E99" s="1415" t="s">
        <v>1855</v>
      </c>
      <c r="F99" s="1416" t="s">
        <v>1856</v>
      </c>
      <c r="G99" s="1417"/>
      <c r="H99" s="1418"/>
      <c r="J99" s="1647" t="s">
        <v>5402</v>
      </c>
      <c r="K99" s="1650" t="s">
        <v>827</v>
      </c>
      <c r="Q99" s="1365" t="str">
        <f t="shared" si="1"/>
        <v>※</v>
      </c>
    </row>
    <row r="100" spans="2:17">
      <c r="B100" s="1404"/>
      <c r="C100" s="1438"/>
      <c r="D100" s="1451"/>
      <c r="E100" s="1468"/>
      <c r="F100" s="1472" t="s">
        <v>825</v>
      </c>
      <c r="G100" s="1360"/>
      <c r="H100" s="1418"/>
      <c r="J100" s="1647" t="s">
        <v>5402</v>
      </c>
      <c r="K100" s="1650" t="s">
        <v>827</v>
      </c>
      <c r="Q100" s="1365" t="str">
        <f t="shared" si="1"/>
        <v>※</v>
      </c>
    </row>
    <row r="101" spans="2:17" s="1331" customFormat="1">
      <c r="B101" s="1404"/>
      <c r="C101" s="1438"/>
      <c r="D101" s="1451"/>
      <c r="E101" s="1424" t="s">
        <v>5416</v>
      </c>
      <c r="F101" s="1469" t="s">
        <v>825</v>
      </c>
      <c r="G101" s="1358"/>
      <c r="H101" s="1418"/>
      <c r="J101" s="1647" t="s">
        <v>5402</v>
      </c>
      <c r="K101" s="1650" t="s">
        <v>827</v>
      </c>
      <c r="Q101" s="1365" t="str">
        <f t="shared" si="1"/>
        <v>※</v>
      </c>
    </row>
    <row r="102" spans="2:17">
      <c r="B102" s="1404"/>
      <c r="C102" s="1438"/>
      <c r="D102" s="1473"/>
      <c r="E102" s="1470"/>
      <c r="F102" s="1471" t="s">
        <v>825</v>
      </c>
      <c r="G102" s="1359"/>
      <c r="H102" s="1418"/>
      <c r="J102" s="1647" t="s">
        <v>5402</v>
      </c>
      <c r="K102" s="1650" t="s">
        <v>827</v>
      </c>
      <c r="Q102" s="1365" t="str">
        <f t="shared" si="1"/>
        <v>※</v>
      </c>
    </row>
    <row r="103" spans="2:17">
      <c r="B103" s="1404"/>
      <c r="C103" s="1438"/>
      <c r="D103" s="1474" t="s">
        <v>1857</v>
      </c>
      <c r="E103" s="1406" t="s">
        <v>1759</v>
      </c>
      <c r="F103" s="1406"/>
      <c r="G103" s="1436"/>
      <c r="H103" s="1437"/>
      <c r="Q103" s="1365" t="str">
        <f t="shared" si="1"/>
        <v>※</v>
      </c>
    </row>
    <row r="104" spans="2:17">
      <c r="B104" s="1404"/>
      <c r="C104" s="1438"/>
      <c r="D104" s="1410"/>
      <c r="E104" s="1411" t="s">
        <v>1840</v>
      </c>
      <c r="F104" s="1412" t="s">
        <v>309</v>
      </c>
      <c r="G104" s="1413"/>
      <c r="H104" s="1414"/>
      <c r="I104" s="1329"/>
      <c r="J104" s="1650" t="s">
        <v>827</v>
      </c>
      <c r="K104" s="1650" t="s">
        <v>5402</v>
      </c>
      <c r="Q104" s="1365" t="str">
        <f t="shared" si="1"/>
        <v>※</v>
      </c>
    </row>
    <row r="105" spans="2:17">
      <c r="B105" s="1404"/>
      <c r="C105" s="1438"/>
      <c r="D105" s="1410"/>
      <c r="E105" s="1415" t="s">
        <v>1831</v>
      </c>
      <c r="F105" s="1416" t="s">
        <v>310</v>
      </c>
      <c r="G105" s="1417"/>
      <c r="H105" s="1418"/>
      <c r="J105" s="1650" t="s">
        <v>827</v>
      </c>
      <c r="K105" s="1650" t="s">
        <v>5402</v>
      </c>
      <c r="Q105" s="1365" t="str">
        <f t="shared" si="1"/>
        <v>※</v>
      </c>
    </row>
    <row r="106" spans="2:17">
      <c r="B106" s="1404"/>
      <c r="C106" s="1438"/>
      <c r="D106" s="1410"/>
      <c r="E106" s="1415" t="s">
        <v>1836</v>
      </c>
      <c r="F106" s="1416" t="s">
        <v>311</v>
      </c>
      <c r="G106" s="1417"/>
      <c r="H106" s="1418"/>
      <c r="J106" s="1650" t="s">
        <v>827</v>
      </c>
      <c r="K106" s="1650" t="s">
        <v>5402</v>
      </c>
      <c r="Q106" s="1365" t="str">
        <f t="shared" si="1"/>
        <v>※</v>
      </c>
    </row>
    <row r="107" spans="2:17">
      <c r="B107" s="1404"/>
      <c r="C107" s="1438"/>
      <c r="D107" s="1410"/>
      <c r="E107" s="1415" t="s">
        <v>1858</v>
      </c>
      <c r="F107" s="1416" t="s">
        <v>1760</v>
      </c>
      <c r="G107" s="1417"/>
      <c r="H107" s="1418"/>
      <c r="J107" s="1650" t="s">
        <v>827</v>
      </c>
      <c r="K107" s="1650" t="s">
        <v>5402</v>
      </c>
      <c r="Q107" s="1365" t="str">
        <f t="shared" si="1"/>
        <v>※</v>
      </c>
    </row>
    <row r="108" spans="2:17">
      <c r="B108" s="1404"/>
      <c r="C108" s="1438"/>
      <c r="D108" s="1433"/>
      <c r="E108" s="1425" t="s">
        <v>862</v>
      </c>
      <c r="F108" s="1426" t="s">
        <v>30</v>
      </c>
      <c r="G108" s="1475"/>
      <c r="H108" s="1428"/>
      <c r="J108" s="1647" t="s">
        <v>5402</v>
      </c>
      <c r="K108" s="1650" t="s">
        <v>827</v>
      </c>
      <c r="Q108" s="1365" t="str">
        <f t="shared" si="1"/>
        <v>※</v>
      </c>
    </row>
    <row r="109" spans="2:17">
      <c r="B109" s="1404"/>
      <c r="C109" s="1438"/>
      <c r="D109" s="1474" t="s">
        <v>1859</v>
      </c>
      <c r="E109" s="1406" t="s">
        <v>312</v>
      </c>
      <c r="F109" s="1406"/>
      <c r="G109" s="1436"/>
      <c r="H109" s="1437"/>
      <c r="J109" s="1647" t="s">
        <v>5402</v>
      </c>
      <c r="K109" s="1650" t="s">
        <v>827</v>
      </c>
      <c r="Q109" s="1365" t="str">
        <f t="shared" si="1"/>
        <v>※</v>
      </c>
    </row>
    <row r="110" spans="2:17" s="1638" customFormat="1">
      <c r="B110" s="1404"/>
      <c r="C110" s="1438"/>
      <c r="D110" s="1474" t="s">
        <v>1885</v>
      </c>
      <c r="E110" s="1406" t="s">
        <v>5386</v>
      </c>
      <c r="F110" s="1406"/>
      <c r="G110" s="1436"/>
      <c r="H110" s="1437"/>
      <c r="J110" s="1647" t="s">
        <v>5402</v>
      </c>
      <c r="K110" s="1650" t="s">
        <v>827</v>
      </c>
      <c r="Q110" s="1365" t="str">
        <f t="shared" si="1"/>
        <v>※</v>
      </c>
    </row>
    <row r="111" spans="2:17" s="1331" customFormat="1">
      <c r="B111" s="1404"/>
      <c r="C111" s="1438"/>
      <c r="D111" s="1476"/>
      <c r="E111" s="1476" t="s">
        <v>709</v>
      </c>
      <c r="F111" s="1400"/>
      <c r="G111" s="1361"/>
      <c r="H111" s="1437"/>
      <c r="J111" s="1647" t="s">
        <v>5402</v>
      </c>
      <c r="K111" s="1650" t="s">
        <v>827</v>
      </c>
      <c r="Q111" s="1365" t="str">
        <f t="shared" si="1"/>
        <v>※</v>
      </c>
    </row>
    <row r="112" spans="2:17" s="1331" customFormat="1">
      <c r="B112" s="1404"/>
      <c r="C112" s="1438"/>
      <c r="D112" s="1424" t="s">
        <v>5385</v>
      </c>
      <c r="E112" s="1477" t="s">
        <v>709</v>
      </c>
      <c r="F112" s="1416"/>
      <c r="G112" s="1358"/>
      <c r="H112" s="1437"/>
      <c r="J112" s="1647" t="s">
        <v>5402</v>
      </c>
      <c r="K112" s="1650" t="s">
        <v>827</v>
      </c>
      <c r="Q112" s="1365" t="str">
        <f t="shared" si="1"/>
        <v>※</v>
      </c>
    </row>
    <row r="113" spans="2:17" s="1331" customFormat="1">
      <c r="B113" s="1404"/>
      <c r="C113" s="1438"/>
      <c r="D113" s="1470"/>
      <c r="E113" s="1478" t="s">
        <v>709</v>
      </c>
      <c r="F113" s="1426"/>
      <c r="G113" s="1358"/>
      <c r="H113" s="1437"/>
      <c r="J113" s="1647" t="s">
        <v>5402</v>
      </c>
      <c r="K113" s="1650" t="s">
        <v>827</v>
      </c>
      <c r="Q113" s="1365" t="str">
        <f t="shared" si="1"/>
        <v>※</v>
      </c>
    </row>
    <row r="114" spans="2:17">
      <c r="B114" s="1404"/>
      <c r="C114" s="1405" t="s">
        <v>162</v>
      </c>
      <c r="D114" s="1406" t="s">
        <v>288</v>
      </c>
      <c r="E114" s="1406"/>
      <c r="F114" s="1406"/>
      <c r="G114" s="1436"/>
      <c r="H114" s="1437"/>
      <c r="Q114" s="1365" t="str">
        <f t="shared" si="1"/>
        <v>※</v>
      </c>
    </row>
    <row r="115" spans="2:17">
      <c r="B115" s="1404"/>
      <c r="C115" s="1409" t="s">
        <v>58</v>
      </c>
      <c r="D115" s="1400" t="s">
        <v>1860</v>
      </c>
      <c r="E115" s="1400"/>
      <c r="F115" s="1400"/>
      <c r="G115" s="1407"/>
      <c r="H115" s="1408"/>
      <c r="Q115" s="1365" t="str">
        <f t="shared" si="1"/>
        <v>※</v>
      </c>
    </row>
    <row r="116" spans="2:17">
      <c r="B116" s="1404"/>
      <c r="C116" s="1438"/>
      <c r="D116" s="1409" t="s">
        <v>1813</v>
      </c>
      <c r="E116" s="1406" t="s">
        <v>1861</v>
      </c>
      <c r="F116" s="1406"/>
      <c r="G116" s="1436"/>
      <c r="H116" s="1437"/>
      <c r="I116" s="1330"/>
      <c r="Q116" s="1365" t="str">
        <f t="shared" si="1"/>
        <v>※</v>
      </c>
    </row>
    <row r="117" spans="2:17" s="1652" customFormat="1">
      <c r="B117" s="1404"/>
      <c r="C117" s="1438"/>
      <c r="D117" s="1410"/>
      <c r="E117" s="1411" t="s">
        <v>5422</v>
      </c>
      <c r="F117" s="1412" t="s">
        <v>5417</v>
      </c>
      <c r="G117" s="1413"/>
      <c r="H117" s="1439"/>
      <c r="I117" s="1330"/>
      <c r="Q117" s="1365"/>
    </row>
    <row r="118" spans="2:17" s="1652" customFormat="1">
      <c r="B118" s="1404"/>
      <c r="C118" s="1438"/>
      <c r="D118" s="1410"/>
      <c r="E118" s="1415" t="s">
        <v>5423</v>
      </c>
      <c r="F118" s="1416" t="s">
        <v>5418</v>
      </c>
      <c r="G118" s="1417"/>
      <c r="H118" s="1441"/>
      <c r="I118" s="1330"/>
      <c r="Q118" s="1365"/>
    </row>
    <row r="119" spans="2:17" s="1652" customFormat="1">
      <c r="B119" s="1404"/>
      <c r="C119" s="1438"/>
      <c r="D119" s="1410"/>
      <c r="E119" s="1415" t="s">
        <v>5424</v>
      </c>
      <c r="F119" s="1416" t="s">
        <v>5419</v>
      </c>
      <c r="G119" s="1417"/>
      <c r="H119" s="1441"/>
      <c r="I119" s="1330"/>
      <c r="Q119" s="1365"/>
    </row>
    <row r="120" spans="2:17" s="1652" customFormat="1">
      <c r="B120" s="1404"/>
      <c r="C120" s="1438"/>
      <c r="D120" s="1410"/>
      <c r="E120" s="1415" t="s">
        <v>5425</v>
      </c>
      <c r="F120" s="1416" t="s">
        <v>5420</v>
      </c>
      <c r="G120" s="1417"/>
      <c r="H120" s="1441"/>
      <c r="I120" s="1330"/>
      <c r="Q120" s="1365"/>
    </row>
    <row r="121" spans="2:17" s="1652" customFormat="1">
      <c r="B121" s="1404"/>
      <c r="C121" s="1438"/>
      <c r="D121" s="1433"/>
      <c r="E121" s="1425" t="s">
        <v>5426</v>
      </c>
      <c r="F121" s="1426" t="s">
        <v>5421</v>
      </c>
      <c r="G121" s="1427"/>
      <c r="H121" s="1479"/>
      <c r="I121" s="1330"/>
      <c r="Q121" s="1365"/>
    </row>
    <row r="122" spans="2:17">
      <c r="B122" s="1404"/>
      <c r="C122" s="1438"/>
      <c r="D122" s="1409" t="s">
        <v>454</v>
      </c>
      <c r="E122" s="1400" t="s">
        <v>1862</v>
      </c>
      <c r="F122" s="1400"/>
      <c r="G122" s="1407"/>
      <c r="H122" s="1408"/>
      <c r="Q122" s="1365" t="str">
        <f t="shared" si="1"/>
        <v>※</v>
      </c>
    </row>
    <row r="123" spans="2:17">
      <c r="B123" s="1404"/>
      <c r="C123" s="1438"/>
      <c r="D123" s="1424"/>
      <c r="E123" s="1411" t="s">
        <v>1829</v>
      </c>
      <c r="F123" s="1412" t="s">
        <v>1863</v>
      </c>
      <c r="G123" s="1413"/>
      <c r="H123" s="1414"/>
      <c r="Q123" s="1365" t="str">
        <f t="shared" si="1"/>
        <v>※</v>
      </c>
    </row>
    <row r="124" spans="2:17" s="1331" customFormat="1">
      <c r="B124" s="1404"/>
      <c r="C124" s="1438"/>
      <c r="D124" s="1424"/>
      <c r="E124" s="1442" t="s">
        <v>1837</v>
      </c>
      <c r="F124" s="1443" t="s">
        <v>1864</v>
      </c>
      <c r="G124" s="1444"/>
      <c r="H124" s="1414"/>
      <c r="Q124" s="1365" t="str">
        <f t="shared" si="1"/>
        <v>※</v>
      </c>
    </row>
    <row r="125" spans="2:17">
      <c r="B125" s="1404"/>
      <c r="C125" s="1451"/>
      <c r="D125" s="1433"/>
      <c r="E125" s="1425" t="s">
        <v>1942</v>
      </c>
      <c r="F125" s="1426" t="s">
        <v>1943</v>
      </c>
      <c r="G125" s="1427"/>
      <c r="H125" s="1414"/>
      <c r="Q125" s="1365" t="str">
        <f t="shared" si="1"/>
        <v>※</v>
      </c>
    </row>
    <row r="126" spans="2:17">
      <c r="B126" s="1404"/>
      <c r="C126" s="1451"/>
      <c r="D126" s="1405" t="s">
        <v>1838</v>
      </c>
      <c r="E126" s="1406" t="s">
        <v>1865</v>
      </c>
      <c r="F126" s="1406"/>
      <c r="G126" s="1436"/>
      <c r="H126" s="1437"/>
      <c r="Q126" s="1365" t="str">
        <f t="shared" si="1"/>
        <v>※</v>
      </c>
    </row>
    <row r="127" spans="2:17">
      <c r="B127" s="1404"/>
      <c r="C127" s="1438"/>
      <c r="D127" s="1405" t="s">
        <v>455</v>
      </c>
      <c r="E127" s="1406" t="s">
        <v>1866</v>
      </c>
      <c r="F127" s="1406"/>
      <c r="G127" s="1436"/>
      <c r="H127" s="1437"/>
      <c r="Q127" s="1365" t="str">
        <f t="shared" si="1"/>
        <v>※</v>
      </c>
    </row>
    <row r="128" spans="2:17">
      <c r="B128" s="1404"/>
      <c r="C128" s="1438"/>
      <c r="D128" s="1405" t="s">
        <v>456</v>
      </c>
      <c r="E128" s="1406" t="s">
        <v>1867</v>
      </c>
      <c r="F128" s="1406"/>
      <c r="G128" s="1436"/>
      <c r="H128" s="1437"/>
      <c r="Q128" s="1365" t="str">
        <f t="shared" si="1"/>
        <v>※</v>
      </c>
    </row>
    <row r="129" spans="2:17">
      <c r="B129" s="1404"/>
      <c r="C129" s="1438"/>
      <c r="D129" s="1409" t="s">
        <v>457</v>
      </c>
      <c r="E129" s="1406" t="s">
        <v>1868</v>
      </c>
      <c r="F129" s="1406"/>
      <c r="G129" s="1436"/>
      <c r="H129" s="1408"/>
      <c r="Q129" s="1365" t="str">
        <f t="shared" si="1"/>
        <v>※</v>
      </c>
    </row>
    <row r="130" spans="2:17">
      <c r="B130" s="1404"/>
      <c r="C130" s="1438"/>
      <c r="D130" s="1424"/>
      <c r="E130" s="1411" t="s">
        <v>1829</v>
      </c>
      <c r="F130" s="1412" t="s">
        <v>1869</v>
      </c>
      <c r="G130" s="1413"/>
      <c r="H130" s="1414"/>
      <c r="Q130" s="1365" t="str">
        <f t="shared" si="1"/>
        <v>※</v>
      </c>
    </row>
    <row r="131" spans="2:17">
      <c r="B131" s="1404"/>
      <c r="C131" s="1438"/>
      <c r="D131" s="1424"/>
      <c r="E131" s="1415" t="s">
        <v>1837</v>
      </c>
      <c r="F131" s="1416" t="s">
        <v>1870</v>
      </c>
      <c r="G131" s="1417"/>
      <c r="H131" s="1418"/>
      <c r="Q131" s="1365" t="str">
        <f t="shared" si="1"/>
        <v>※</v>
      </c>
    </row>
    <row r="132" spans="2:17">
      <c r="B132" s="1404"/>
      <c r="C132" s="1438"/>
      <c r="D132" s="1424"/>
      <c r="E132" s="1415" t="s">
        <v>1854</v>
      </c>
      <c r="F132" s="1416" t="s">
        <v>1871</v>
      </c>
      <c r="G132" s="1417"/>
      <c r="H132" s="1418"/>
      <c r="Q132" s="1365" t="str">
        <f t="shared" si="1"/>
        <v>※</v>
      </c>
    </row>
    <row r="133" spans="2:17">
      <c r="B133" s="1404"/>
      <c r="C133" s="1438"/>
      <c r="D133" s="1424"/>
      <c r="E133" s="1415" t="s">
        <v>1851</v>
      </c>
      <c r="F133" s="1416" t="s">
        <v>1872</v>
      </c>
      <c r="G133" s="1417"/>
      <c r="H133" s="1418"/>
      <c r="Q133" s="1365" t="str">
        <f t="shared" si="1"/>
        <v>※</v>
      </c>
    </row>
    <row r="134" spans="2:17">
      <c r="B134" s="1404"/>
      <c r="C134" s="1438"/>
      <c r="D134" s="1424"/>
      <c r="E134" s="1415" t="s">
        <v>1852</v>
      </c>
      <c r="F134" s="1416" t="s">
        <v>1873</v>
      </c>
      <c r="G134" s="1417"/>
      <c r="H134" s="1418"/>
      <c r="Q134" s="1365" t="str">
        <f t="shared" si="1"/>
        <v>※</v>
      </c>
    </row>
    <row r="135" spans="2:17">
      <c r="B135" s="1404"/>
      <c r="C135" s="1438"/>
      <c r="D135" s="1424"/>
      <c r="E135" s="1425" t="s">
        <v>1874</v>
      </c>
      <c r="F135" s="1416" t="s">
        <v>1875</v>
      </c>
      <c r="G135" s="1417"/>
      <c r="H135" s="1428"/>
      <c r="Q135" s="1365" t="str">
        <f t="shared" si="1"/>
        <v>※</v>
      </c>
    </row>
    <row r="136" spans="2:17">
      <c r="B136" s="1404"/>
      <c r="C136" s="1438"/>
      <c r="D136" s="1409" t="s">
        <v>458</v>
      </c>
      <c r="E136" s="1452" t="s">
        <v>1876</v>
      </c>
      <c r="F136" s="1400"/>
      <c r="G136" s="1407"/>
      <c r="H136" s="1408"/>
      <c r="Q136" s="1365" t="str">
        <f t="shared" si="1"/>
        <v>※</v>
      </c>
    </row>
    <row r="137" spans="2:17">
      <c r="B137" s="1404"/>
      <c r="C137" s="1438"/>
      <c r="D137" s="1438"/>
      <c r="E137" s="1411" t="s">
        <v>1829</v>
      </c>
      <c r="F137" s="1412" t="s">
        <v>1877</v>
      </c>
      <c r="G137" s="1413"/>
      <c r="H137" s="1439"/>
      <c r="Q137" s="1365" t="str">
        <f t="shared" si="1"/>
        <v>※</v>
      </c>
    </row>
    <row r="138" spans="2:17">
      <c r="B138" s="1404"/>
      <c r="C138" s="1438"/>
      <c r="D138" s="1438"/>
      <c r="E138" s="1415" t="s">
        <v>1837</v>
      </c>
      <c r="F138" s="1416" t="s">
        <v>1878</v>
      </c>
      <c r="G138" s="1417"/>
      <c r="H138" s="1441"/>
      <c r="Q138" s="1365" t="str">
        <f t="shared" si="1"/>
        <v>※</v>
      </c>
    </row>
    <row r="139" spans="2:17">
      <c r="B139" s="1404"/>
      <c r="C139" s="1438"/>
      <c r="D139" s="1438"/>
      <c r="E139" s="1415" t="s">
        <v>1854</v>
      </c>
      <c r="F139" s="1416" t="s">
        <v>1879</v>
      </c>
      <c r="G139" s="1417"/>
      <c r="H139" s="1441"/>
      <c r="Q139" s="1365" t="str">
        <f t="shared" si="1"/>
        <v>※</v>
      </c>
    </row>
    <row r="140" spans="2:17">
      <c r="B140" s="1404"/>
      <c r="C140" s="1438"/>
      <c r="D140" s="1438"/>
      <c r="E140" s="1415" t="s">
        <v>1851</v>
      </c>
      <c r="F140" s="1416" t="s">
        <v>1880</v>
      </c>
      <c r="G140" s="1417"/>
      <c r="H140" s="1441"/>
      <c r="Q140" s="1365" t="str">
        <f t="shared" si="1"/>
        <v>※</v>
      </c>
    </row>
    <row r="141" spans="2:17">
      <c r="B141" s="1404"/>
      <c r="C141" s="1438"/>
      <c r="D141" s="1438"/>
      <c r="E141" s="1415" t="s">
        <v>1852</v>
      </c>
      <c r="F141" s="1416" t="s">
        <v>1881</v>
      </c>
      <c r="G141" s="1417"/>
      <c r="H141" s="1441"/>
      <c r="Q141" s="1365" t="str">
        <f t="shared" si="1"/>
        <v>※</v>
      </c>
    </row>
    <row r="142" spans="2:17">
      <c r="B142" s="1404"/>
      <c r="C142" s="1438"/>
      <c r="D142" s="1470"/>
      <c r="E142" s="1415" t="s">
        <v>1874</v>
      </c>
      <c r="F142" s="1426" t="s">
        <v>1882</v>
      </c>
      <c r="G142" s="1427"/>
      <c r="H142" s="1479"/>
      <c r="Q142" s="1365" t="str">
        <f t="shared" si="1"/>
        <v>※</v>
      </c>
    </row>
    <row r="143" spans="2:17">
      <c r="B143" s="1404"/>
      <c r="C143" s="1438"/>
      <c r="D143" s="1405" t="s">
        <v>459</v>
      </c>
      <c r="E143" s="1406" t="s">
        <v>1883</v>
      </c>
      <c r="F143" s="1406"/>
      <c r="G143" s="1436"/>
      <c r="H143" s="1437"/>
      <c r="Q143" s="1365" t="str">
        <f t="shared" si="1"/>
        <v>※</v>
      </c>
    </row>
    <row r="144" spans="2:17">
      <c r="B144" s="1404"/>
      <c r="C144" s="1438"/>
      <c r="D144" s="1405" t="s">
        <v>1884</v>
      </c>
      <c r="E144" s="1406" t="s">
        <v>288</v>
      </c>
      <c r="F144" s="1406"/>
      <c r="G144" s="1436"/>
      <c r="H144" s="1437"/>
      <c r="Q144" s="1365" t="str">
        <f t="shared" si="1"/>
        <v>※</v>
      </c>
    </row>
    <row r="145" spans="2:17">
      <c r="B145" s="1404"/>
      <c r="C145" s="1438"/>
      <c r="D145" s="1405" t="s">
        <v>1885</v>
      </c>
      <c r="E145" s="1406" t="s">
        <v>1886</v>
      </c>
      <c r="F145" s="1406"/>
      <c r="G145" s="1436"/>
      <c r="H145" s="1437"/>
      <c r="Q145" s="1365" t="str">
        <f t="shared" si="1"/>
        <v>※</v>
      </c>
    </row>
    <row r="146" spans="2:17">
      <c r="B146" s="1404"/>
      <c r="C146" s="1438"/>
      <c r="D146" s="1405" t="s">
        <v>1887</v>
      </c>
      <c r="E146" s="1406" t="s">
        <v>1888</v>
      </c>
      <c r="F146" s="1406"/>
      <c r="G146" s="1436"/>
      <c r="H146" s="1437"/>
      <c r="Q146" s="1365" t="str">
        <f t="shared" si="1"/>
        <v>※</v>
      </c>
    </row>
    <row r="147" spans="2:17">
      <c r="B147" s="1404"/>
      <c r="C147" s="1438"/>
      <c r="D147" s="1405" t="s">
        <v>1889</v>
      </c>
      <c r="E147" s="1480" t="s">
        <v>1890</v>
      </c>
      <c r="F147" s="1481"/>
      <c r="G147" s="1482"/>
      <c r="H147" s="1437"/>
      <c r="Q147" s="1365" t="str">
        <f t="shared" si="1"/>
        <v>※</v>
      </c>
    </row>
    <row r="148" spans="2:17">
      <c r="B148" s="1404"/>
      <c r="C148" s="1438"/>
      <c r="D148" s="1419" t="s">
        <v>1891</v>
      </c>
      <c r="E148" s="1483" t="s">
        <v>1892</v>
      </c>
      <c r="F148" s="1484"/>
      <c r="G148" s="1485"/>
      <c r="H148" s="1437"/>
      <c r="Q148" s="1365" t="str">
        <f t="shared" ref="Q148:Q171" si="2">IF($H148="","※","")</f>
        <v>※</v>
      </c>
    </row>
    <row r="149" spans="2:17">
      <c r="B149" s="1404"/>
      <c r="C149" s="1438"/>
      <c r="D149" s="1419" t="s">
        <v>1893</v>
      </c>
      <c r="E149" s="1483" t="s">
        <v>1894</v>
      </c>
      <c r="F149" s="1486"/>
      <c r="G149" s="1485"/>
      <c r="H149" s="1437"/>
      <c r="Q149" s="1365" t="str">
        <f t="shared" si="2"/>
        <v>※</v>
      </c>
    </row>
    <row r="150" spans="2:17">
      <c r="B150" s="1404"/>
      <c r="C150" s="1438"/>
      <c r="D150" s="1419" t="s">
        <v>1895</v>
      </c>
      <c r="E150" s="1483" t="s">
        <v>1896</v>
      </c>
      <c r="F150" s="1484"/>
      <c r="G150" s="1485"/>
      <c r="H150" s="1437"/>
      <c r="Q150" s="1365" t="str">
        <f t="shared" si="2"/>
        <v>※</v>
      </c>
    </row>
    <row r="151" spans="2:17">
      <c r="B151" s="1404"/>
      <c r="C151" s="1438"/>
      <c r="D151" s="1419" t="s">
        <v>1897</v>
      </c>
      <c r="E151" s="1483" t="s">
        <v>1898</v>
      </c>
      <c r="F151" s="1484"/>
      <c r="G151" s="1485"/>
      <c r="H151" s="1437"/>
      <c r="Q151" s="1365" t="str">
        <f t="shared" si="2"/>
        <v>※</v>
      </c>
    </row>
    <row r="152" spans="2:17" s="1638" customFormat="1">
      <c r="B152" s="1404"/>
      <c r="C152" s="1438"/>
      <c r="D152" s="1419" t="s">
        <v>5387</v>
      </c>
      <c r="E152" s="1483" t="s">
        <v>5386</v>
      </c>
      <c r="F152" s="1484"/>
      <c r="G152" s="1485"/>
      <c r="H152" s="1437"/>
      <c r="Q152" s="1365" t="str">
        <f t="shared" si="2"/>
        <v>※</v>
      </c>
    </row>
    <row r="153" spans="2:17">
      <c r="B153" s="1404"/>
      <c r="C153" s="1438"/>
      <c r="D153" s="1476"/>
      <c r="E153" s="1487" t="s">
        <v>709</v>
      </c>
      <c r="F153" s="1412"/>
      <c r="G153" s="1362"/>
      <c r="H153" s="1455"/>
      <c r="Q153" s="1365" t="str">
        <f t="shared" si="2"/>
        <v>※</v>
      </c>
    </row>
    <row r="154" spans="2:17" s="1331" customFormat="1">
      <c r="B154" s="1404"/>
      <c r="C154" s="1438"/>
      <c r="D154" s="1424" t="s">
        <v>5388</v>
      </c>
      <c r="E154" s="1469" t="s">
        <v>709</v>
      </c>
      <c r="F154" s="1416"/>
      <c r="G154" s="1358"/>
      <c r="H154" s="1455"/>
      <c r="Q154" s="1365" t="str">
        <f t="shared" si="2"/>
        <v>※</v>
      </c>
    </row>
    <row r="155" spans="2:17" s="1331" customFormat="1">
      <c r="B155" s="1404"/>
      <c r="C155" s="1438"/>
      <c r="D155" s="1470"/>
      <c r="E155" s="1471" t="s">
        <v>709</v>
      </c>
      <c r="F155" s="1426"/>
      <c r="G155" s="1359"/>
      <c r="H155" s="1455"/>
      <c r="Q155" s="1365" t="str">
        <f t="shared" si="2"/>
        <v>※</v>
      </c>
    </row>
    <row r="156" spans="2:17">
      <c r="B156" s="1404"/>
      <c r="C156" s="1473"/>
      <c r="D156" s="1419" t="s">
        <v>5389</v>
      </c>
      <c r="E156" s="1421" t="s">
        <v>1899</v>
      </c>
      <c r="F156" s="1421"/>
      <c r="G156" s="1422"/>
      <c r="H156" s="1437"/>
      <c r="Q156" s="1365" t="str">
        <f t="shared" si="2"/>
        <v>※</v>
      </c>
    </row>
    <row r="157" spans="2:17" ht="13.5" customHeight="1">
      <c r="B157" s="1404"/>
      <c r="C157" s="1488" t="s">
        <v>59</v>
      </c>
      <c r="D157" s="1489" t="s">
        <v>1900</v>
      </c>
      <c r="E157" s="1489"/>
      <c r="F157" s="1489"/>
      <c r="G157" s="1490"/>
      <c r="H157" s="1429"/>
      <c r="Q157" s="1365" t="str">
        <f t="shared" si="2"/>
        <v>※</v>
      </c>
    </row>
    <row r="158" spans="2:17" ht="27.75" customHeight="1">
      <c r="B158" s="1404"/>
      <c r="C158" s="1438"/>
      <c r="D158" s="1411" t="s">
        <v>1820</v>
      </c>
      <c r="E158" s="1491" t="s">
        <v>1901</v>
      </c>
      <c r="F158" s="1492"/>
      <c r="G158" s="1492"/>
      <c r="H158" s="1414"/>
      <c r="Q158" s="1365" t="str">
        <f t="shared" si="2"/>
        <v>※</v>
      </c>
    </row>
    <row r="159" spans="2:17" ht="27.75" customHeight="1">
      <c r="B159" s="1404"/>
      <c r="C159" s="1438"/>
      <c r="D159" s="1419" t="s">
        <v>1814</v>
      </c>
      <c r="E159" s="1493" t="s">
        <v>1902</v>
      </c>
      <c r="F159" s="1494"/>
      <c r="G159" s="1494"/>
      <c r="H159" s="1423"/>
      <c r="Q159" s="1365" t="str">
        <f t="shared" si="2"/>
        <v>※</v>
      </c>
    </row>
    <row r="160" spans="2:17">
      <c r="B160" s="1495" t="s">
        <v>292</v>
      </c>
      <c r="C160" s="1406" t="s">
        <v>1944</v>
      </c>
      <c r="D160" s="1406"/>
      <c r="E160" s="1406"/>
      <c r="F160" s="1406"/>
      <c r="G160" s="1436"/>
      <c r="H160" s="1496"/>
      <c r="Q160" s="1365"/>
    </row>
    <row r="161" spans="2:17">
      <c r="B161" s="1495" t="s">
        <v>62</v>
      </c>
      <c r="C161" s="1406" t="s">
        <v>998</v>
      </c>
      <c r="D161" s="1406"/>
      <c r="E161" s="1406"/>
      <c r="F161" s="1406"/>
      <c r="G161" s="1497"/>
      <c r="H161" s="1437"/>
      <c r="Q161" s="1365" t="str">
        <f t="shared" si="2"/>
        <v>※</v>
      </c>
    </row>
    <row r="162" spans="2:17" ht="30.75" customHeight="1">
      <c r="B162" s="1495" t="s">
        <v>63</v>
      </c>
      <c r="C162" s="1498" t="s">
        <v>1903</v>
      </c>
      <c r="D162" s="1499"/>
      <c r="E162" s="1499"/>
      <c r="F162" s="1499"/>
      <c r="G162" s="1500"/>
      <c r="H162" s="1501"/>
      <c r="Q162" s="1365" t="str">
        <f t="shared" si="2"/>
        <v>※</v>
      </c>
    </row>
    <row r="163" spans="2:17">
      <c r="B163" s="1495" t="s">
        <v>711</v>
      </c>
      <c r="C163" s="1406" t="s">
        <v>64</v>
      </c>
      <c r="D163" s="1406"/>
      <c r="E163" s="1406"/>
      <c r="F163" s="1406"/>
      <c r="G163" s="1436"/>
      <c r="H163" s="1437"/>
      <c r="Q163" s="1365" t="str">
        <f t="shared" si="2"/>
        <v>※</v>
      </c>
    </row>
    <row r="164" spans="2:17">
      <c r="B164" s="1495" t="s">
        <v>1057</v>
      </c>
      <c r="C164" s="1406" t="s">
        <v>289</v>
      </c>
      <c r="D164" s="1406"/>
      <c r="E164" s="1406"/>
      <c r="F164" s="1406"/>
      <c r="G164" s="1436"/>
      <c r="H164" s="1437"/>
      <c r="Q164" s="1365" t="str">
        <f t="shared" si="2"/>
        <v>※</v>
      </c>
    </row>
    <row r="165" spans="2:17">
      <c r="B165" s="1495" t="s">
        <v>1059</v>
      </c>
      <c r="C165" s="1406" t="s">
        <v>1945</v>
      </c>
      <c r="D165" s="1406"/>
      <c r="E165" s="1406"/>
      <c r="F165" s="1406"/>
      <c r="G165" s="1436"/>
      <c r="H165" s="1437"/>
      <c r="Q165" s="1365" t="str">
        <f t="shared" si="2"/>
        <v>※</v>
      </c>
    </row>
    <row r="166" spans="2:17">
      <c r="B166" s="1495" t="s">
        <v>1061</v>
      </c>
      <c r="C166" s="1406" t="s">
        <v>1904</v>
      </c>
      <c r="D166" s="1406"/>
      <c r="E166" s="1406"/>
      <c r="F166" s="1406"/>
      <c r="G166" s="1436"/>
      <c r="H166" s="1437"/>
      <c r="Q166" s="1365" t="str">
        <f t="shared" si="2"/>
        <v>※</v>
      </c>
    </row>
    <row r="167" spans="2:17">
      <c r="B167" s="1502"/>
      <c r="C167" s="1503"/>
      <c r="D167" s="1503"/>
      <c r="E167" s="1503"/>
      <c r="F167" s="1503"/>
      <c r="G167" s="1503"/>
      <c r="H167" s="1504"/>
      <c r="Q167" s="1365"/>
    </row>
    <row r="168" spans="2:17">
      <c r="B168" s="1505" t="s">
        <v>1905</v>
      </c>
      <c r="C168" s="1506"/>
      <c r="D168" s="1507"/>
      <c r="E168" s="1507"/>
      <c r="F168" s="1507"/>
      <c r="G168" s="1508"/>
      <c r="H168" s="1509"/>
      <c r="Q168" s="1365" t="str">
        <f t="shared" si="2"/>
        <v>※</v>
      </c>
    </row>
    <row r="169" spans="2:17">
      <c r="B169" s="1505" t="s">
        <v>1906</v>
      </c>
      <c r="C169" s="1506"/>
      <c r="D169" s="1507"/>
      <c r="E169" s="1507"/>
      <c r="F169" s="1507"/>
      <c r="G169" s="1508"/>
      <c r="H169" s="1510"/>
      <c r="Q169" s="1365" t="str">
        <f>IF($H169="","※","")</f>
        <v>※</v>
      </c>
    </row>
    <row r="170" spans="2:17">
      <c r="B170" s="1511"/>
      <c r="C170" s="1503"/>
      <c r="D170" s="1503"/>
      <c r="E170" s="1503"/>
      <c r="F170" s="1503"/>
      <c r="G170" s="1503"/>
      <c r="H170" s="1504"/>
      <c r="Q170" s="1365"/>
    </row>
    <row r="171" spans="2:17">
      <c r="B171" s="1512" t="s">
        <v>198</v>
      </c>
      <c r="C171" s="1513"/>
      <c r="D171" s="1513"/>
      <c r="E171" s="1513"/>
      <c r="F171" s="1514"/>
      <c r="G171" s="1515" t="s">
        <v>1907</v>
      </c>
      <c r="H171" s="1516" t="s">
        <v>1908</v>
      </c>
      <c r="Q171" s="1365" t="str">
        <f t="shared" si="2"/>
        <v/>
      </c>
    </row>
    <row r="172" spans="2:17">
      <c r="B172" s="1517"/>
      <c r="C172" s="1518"/>
      <c r="D172" s="1519"/>
      <c r="E172" s="1519"/>
      <c r="F172" s="1520"/>
      <c r="G172" s="1521"/>
      <c r="H172" s="1522"/>
      <c r="Q172" s="1365" t="str">
        <f>IF(AND(C172&lt;&gt;"",$H172=""),"※","")</f>
        <v/>
      </c>
    </row>
    <row r="173" spans="2:17">
      <c r="B173" s="1517"/>
      <c r="C173" s="1518"/>
      <c r="D173" s="1519"/>
      <c r="E173" s="1519"/>
      <c r="F173" s="1520"/>
      <c r="G173" s="1521"/>
      <c r="H173" s="1522"/>
      <c r="Q173" s="1365" t="str">
        <f t="shared" ref="Q173:Q221" si="3">IF(AND(C173&lt;&gt;"",$H173=""),"※","")</f>
        <v/>
      </c>
    </row>
    <row r="174" spans="2:17">
      <c r="B174" s="1517"/>
      <c r="C174" s="1518"/>
      <c r="D174" s="1519"/>
      <c r="E174" s="1519"/>
      <c r="F174" s="1520"/>
      <c r="G174" s="1521"/>
      <c r="H174" s="1522"/>
      <c r="Q174" s="1365" t="str">
        <f t="shared" si="3"/>
        <v/>
      </c>
    </row>
    <row r="175" spans="2:17">
      <c r="B175" s="1517"/>
      <c r="C175" s="1518"/>
      <c r="D175" s="1519"/>
      <c r="E175" s="1519"/>
      <c r="F175" s="1520"/>
      <c r="G175" s="1521"/>
      <c r="H175" s="1522"/>
      <c r="Q175" s="1365" t="str">
        <f t="shared" si="3"/>
        <v/>
      </c>
    </row>
    <row r="176" spans="2:17">
      <c r="B176" s="1517"/>
      <c r="C176" s="1518"/>
      <c r="D176" s="1519"/>
      <c r="E176" s="1519"/>
      <c r="F176" s="1520"/>
      <c r="G176" s="1521"/>
      <c r="H176" s="1522"/>
      <c r="Q176" s="1365" t="str">
        <f t="shared" si="3"/>
        <v/>
      </c>
    </row>
    <row r="177" spans="2:17">
      <c r="B177" s="1517"/>
      <c r="C177" s="1518"/>
      <c r="D177" s="1519"/>
      <c r="E177" s="1519"/>
      <c r="F177" s="1520"/>
      <c r="G177" s="1521"/>
      <c r="H177" s="1522"/>
      <c r="Q177" s="1365" t="str">
        <f t="shared" si="3"/>
        <v/>
      </c>
    </row>
    <row r="178" spans="2:17">
      <c r="B178" s="1517"/>
      <c r="C178" s="1518"/>
      <c r="D178" s="1519"/>
      <c r="E178" s="1519"/>
      <c r="F178" s="1520"/>
      <c r="G178" s="1521"/>
      <c r="H178" s="1522"/>
      <c r="Q178" s="1365" t="str">
        <f t="shared" si="3"/>
        <v/>
      </c>
    </row>
    <row r="179" spans="2:17">
      <c r="B179" s="1517"/>
      <c r="C179" s="1518"/>
      <c r="D179" s="1519"/>
      <c r="E179" s="1519"/>
      <c r="F179" s="1520"/>
      <c r="G179" s="1521"/>
      <c r="H179" s="1522"/>
      <c r="Q179" s="1365" t="str">
        <f t="shared" si="3"/>
        <v/>
      </c>
    </row>
    <row r="180" spans="2:17">
      <c r="B180" s="1517"/>
      <c r="C180" s="1518"/>
      <c r="D180" s="1519"/>
      <c r="E180" s="1519"/>
      <c r="F180" s="1520"/>
      <c r="G180" s="1521"/>
      <c r="H180" s="1522"/>
      <c r="Q180" s="1365" t="str">
        <f t="shared" si="3"/>
        <v/>
      </c>
    </row>
    <row r="181" spans="2:17">
      <c r="B181" s="1517"/>
      <c r="C181" s="1518"/>
      <c r="D181" s="1519"/>
      <c r="E181" s="1519"/>
      <c r="F181" s="1520"/>
      <c r="G181" s="1521"/>
      <c r="H181" s="1522"/>
      <c r="Q181" s="1365" t="str">
        <f t="shared" si="3"/>
        <v/>
      </c>
    </row>
    <row r="182" spans="2:17">
      <c r="B182" s="1517"/>
      <c r="C182" s="1518"/>
      <c r="D182" s="1519"/>
      <c r="E182" s="1519"/>
      <c r="F182" s="1520"/>
      <c r="G182" s="1521"/>
      <c r="H182" s="1522"/>
      <c r="Q182" s="1365" t="str">
        <f t="shared" si="3"/>
        <v/>
      </c>
    </row>
    <row r="183" spans="2:17">
      <c r="B183" s="1517"/>
      <c r="C183" s="1518"/>
      <c r="D183" s="1519"/>
      <c r="E183" s="1519"/>
      <c r="F183" s="1520"/>
      <c r="G183" s="1521"/>
      <c r="H183" s="1522"/>
      <c r="Q183" s="1365" t="str">
        <f t="shared" si="3"/>
        <v/>
      </c>
    </row>
    <row r="184" spans="2:17">
      <c r="B184" s="1517"/>
      <c r="C184" s="1518"/>
      <c r="D184" s="1519"/>
      <c r="E184" s="1519"/>
      <c r="F184" s="1520"/>
      <c r="G184" s="1521"/>
      <c r="H184" s="1522"/>
      <c r="Q184" s="1365" t="str">
        <f t="shared" si="3"/>
        <v/>
      </c>
    </row>
    <row r="185" spans="2:17">
      <c r="B185" s="1517"/>
      <c r="C185" s="1518"/>
      <c r="D185" s="1519"/>
      <c r="E185" s="1519"/>
      <c r="F185" s="1520"/>
      <c r="G185" s="1521"/>
      <c r="H185" s="1522"/>
      <c r="Q185" s="1365" t="str">
        <f t="shared" si="3"/>
        <v/>
      </c>
    </row>
    <row r="186" spans="2:17">
      <c r="B186" s="1517"/>
      <c r="C186" s="1518"/>
      <c r="D186" s="1519"/>
      <c r="E186" s="1519"/>
      <c r="F186" s="1520"/>
      <c r="G186" s="1521"/>
      <c r="H186" s="1522"/>
      <c r="Q186" s="1365" t="str">
        <f t="shared" si="3"/>
        <v/>
      </c>
    </row>
    <row r="187" spans="2:17">
      <c r="B187" s="1517"/>
      <c r="C187" s="1518"/>
      <c r="D187" s="1519"/>
      <c r="E187" s="1519"/>
      <c r="F187" s="1520"/>
      <c r="G187" s="1521"/>
      <c r="H187" s="1522"/>
      <c r="Q187" s="1365" t="str">
        <f t="shared" si="3"/>
        <v/>
      </c>
    </row>
    <row r="188" spans="2:17">
      <c r="B188" s="1517"/>
      <c r="C188" s="1518"/>
      <c r="D188" s="1519"/>
      <c r="E188" s="1519"/>
      <c r="F188" s="1520"/>
      <c r="G188" s="1521"/>
      <c r="H188" s="1522"/>
      <c r="Q188" s="1365" t="str">
        <f t="shared" si="3"/>
        <v/>
      </c>
    </row>
    <row r="189" spans="2:17">
      <c r="B189" s="1517"/>
      <c r="C189" s="1518"/>
      <c r="D189" s="1519"/>
      <c r="E189" s="1519"/>
      <c r="F189" s="1520"/>
      <c r="G189" s="1521"/>
      <c r="H189" s="1522"/>
      <c r="Q189" s="1365" t="str">
        <f t="shared" si="3"/>
        <v/>
      </c>
    </row>
    <row r="190" spans="2:17">
      <c r="B190" s="1517"/>
      <c r="C190" s="1518"/>
      <c r="D190" s="1519"/>
      <c r="E190" s="1519"/>
      <c r="F190" s="1520"/>
      <c r="G190" s="1521"/>
      <c r="H190" s="1522"/>
      <c r="Q190" s="1365" t="str">
        <f t="shared" si="3"/>
        <v/>
      </c>
    </row>
    <row r="191" spans="2:17">
      <c r="B191" s="1517"/>
      <c r="C191" s="1518"/>
      <c r="D191" s="1519"/>
      <c r="E191" s="1519"/>
      <c r="F191" s="1520"/>
      <c r="G191" s="1521"/>
      <c r="H191" s="1522"/>
      <c r="Q191" s="1365" t="str">
        <f t="shared" si="3"/>
        <v/>
      </c>
    </row>
    <row r="192" spans="2:17">
      <c r="B192" s="1517"/>
      <c r="C192" s="1518"/>
      <c r="D192" s="1519"/>
      <c r="E192" s="1519"/>
      <c r="F192" s="1520"/>
      <c r="G192" s="1521"/>
      <c r="H192" s="1522"/>
      <c r="Q192" s="1365" t="str">
        <f t="shared" si="3"/>
        <v/>
      </c>
    </row>
    <row r="193" spans="2:17">
      <c r="B193" s="1517"/>
      <c r="C193" s="1518"/>
      <c r="D193" s="1519"/>
      <c r="E193" s="1519"/>
      <c r="F193" s="1520"/>
      <c r="G193" s="1521"/>
      <c r="H193" s="1522"/>
      <c r="Q193" s="1365" t="str">
        <f t="shared" si="3"/>
        <v/>
      </c>
    </row>
    <row r="194" spans="2:17">
      <c r="B194" s="1517"/>
      <c r="C194" s="1518"/>
      <c r="D194" s="1519"/>
      <c r="E194" s="1519"/>
      <c r="F194" s="1520"/>
      <c r="G194" s="1521"/>
      <c r="H194" s="1522"/>
      <c r="Q194" s="1365" t="str">
        <f t="shared" si="3"/>
        <v/>
      </c>
    </row>
    <row r="195" spans="2:17">
      <c r="B195" s="1517"/>
      <c r="C195" s="1518"/>
      <c r="D195" s="1519"/>
      <c r="E195" s="1519"/>
      <c r="F195" s="1520"/>
      <c r="G195" s="1521"/>
      <c r="H195" s="1522"/>
      <c r="Q195" s="1365" t="str">
        <f t="shared" si="3"/>
        <v/>
      </c>
    </row>
    <row r="196" spans="2:17">
      <c r="B196" s="1517"/>
      <c r="C196" s="1518"/>
      <c r="D196" s="1519"/>
      <c r="E196" s="1519"/>
      <c r="F196" s="1520"/>
      <c r="G196" s="1521"/>
      <c r="H196" s="1522"/>
      <c r="Q196" s="1365" t="str">
        <f t="shared" si="3"/>
        <v/>
      </c>
    </row>
    <row r="197" spans="2:17">
      <c r="B197" s="1517"/>
      <c r="C197" s="1518"/>
      <c r="D197" s="1519"/>
      <c r="E197" s="1519"/>
      <c r="F197" s="1520"/>
      <c r="G197" s="1521"/>
      <c r="H197" s="1522"/>
      <c r="Q197" s="1365" t="str">
        <f t="shared" si="3"/>
        <v/>
      </c>
    </row>
    <row r="198" spans="2:17">
      <c r="B198" s="1517"/>
      <c r="C198" s="1518"/>
      <c r="D198" s="1519"/>
      <c r="E198" s="1519"/>
      <c r="F198" s="1520"/>
      <c r="G198" s="1521"/>
      <c r="H198" s="1522"/>
      <c r="Q198" s="1365" t="str">
        <f t="shared" si="3"/>
        <v/>
      </c>
    </row>
    <row r="199" spans="2:17">
      <c r="B199" s="1517"/>
      <c r="C199" s="1518"/>
      <c r="D199" s="1519"/>
      <c r="E199" s="1519"/>
      <c r="F199" s="1520"/>
      <c r="G199" s="1521"/>
      <c r="H199" s="1522"/>
      <c r="Q199" s="1365" t="str">
        <f t="shared" si="3"/>
        <v/>
      </c>
    </row>
    <row r="200" spans="2:17">
      <c r="B200" s="1517"/>
      <c r="C200" s="1518"/>
      <c r="D200" s="1519"/>
      <c r="E200" s="1519"/>
      <c r="F200" s="1520"/>
      <c r="G200" s="1521"/>
      <c r="H200" s="1522"/>
      <c r="Q200" s="1365" t="str">
        <f t="shared" si="3"/>
        <v/>
      </c>
    </row>
    <row r="201" spans="2:17">
      <c r="B201" s="1517"/>
      <c r="C201" s="1518"/>
      <c r="D201" s="1519"/>
      <c r="E201" s="1519"/>
      <c r="F201" s="1520"/>
      <c r="G201" s="1521"/>
      <c r="H201" s="1522"/>
      <c r="Q201" s="1365" t="str">
        <f t="shared" si="3"/>
        <v/>
      </c>
    </row>
    <row r="202" spans="2:17">
      <c r="B202" s="1517"/>
      <c r="C202" s="1518"/>
      <c r="D202" s="1519"/>
      <c r="E202" s="1519"/>
      <c r="F202" s="1520"/>
      <c r="G202" s="1521"/>
      <c r="H202" s="1522"/>
      <c r="Q202" s="1365" t="str">
        <f t="shared" si="3"/>
        <v/>
      </c>
    </row>
    <row r="203" spans="2:17">
      <c r="B203" s="1517"/>
      <c r="C203" s="1518"/>
      <c r="D203" s="1519"/>
      <c r="E203" s="1519"/>
      <c r="F203" s="1520"/>
      <c r="G203" s="1521"/>
      <c r="H203" s="1522"/>
      <c r="Q203" s="1365" t="str">
        <f t="shared" si="3"/>
        <v/>
      </c>
    </row>
    <row r="204" spans="2:17">
      <c r="B204" s="1517"/>
      <c r="C204" s="1518"/>
      <c r="D204" s="1519"/>
      <c r="E204" s="1519"/>
      <c r="F204" s="1520"/>
      <c r="G204" s="1521"/>
      <c r="H204" s="1522"/>
      <c r="Q204" s="1365" t="str">
        <f t="shared" si="3"/>
        <v/>
      </c>
    </row>
    <row r="205" spans="2:17">
      <c r="B205" s="1517"/>
      <c r="C205" s="1518"/>
      <c r="D205" s="1519"/>
      <c r="E205" s="1519"/>
      <c r="F205" s="1520"/>
      <c r="G205" s="1521"/>
      <c r="H205" s="1522"/>
      <c r="Q205" s="1365" t="str">
        <f t="shared" si="3"/>
        <v/>
      </c>
    </row>
    <row r="206" spans="2:17">
      <c r="B206" s="1517"/>
      <c r="C206" s="1518"/>
      <c r="D206" s="1519"/>
      <c r="E206" s="1519"/>
      <c r="F206" s="1520"/>
      <c r="G206" s="1521"/>
      <c r="H206" s="1522"/>
      <c r="Q206" s="1365" t="str">
        <f t="shared" si="3"/>
        <v/>
      </c>
    </row>
    <row r="207" spans="2:17">
      <c r="B207" s="1517"/>
      <c r="C207" s="1518"/>
      <c r="D207" s="1519"/>
      <c r="E207" s="1519"/>
      <c r="F207" s="1520"/>
      <c r="G207" s="1521"/>
      <c r="H207" s="1522"/>
      <c r="Q207" s="1365" t="str">
        <f t="shared" si="3"/>
        <v/>
      </c>
    </row>
    <row r="208" spans="2:17">
      <c r="B208" s="1517"/>
      <c r="C208" s="1518"/>
      <c r="D208" s="1519"/>
      <c r="E208" s="1519"/>
      <c r="F208" s="1520"/>
      <c r="G208" s="1521"/>
      <c r="H208" s="1522"/>
      <c r="Q208" s="1365" t="str">
        <f t="shared" si="3"/>
        <v/>
      </c>
    </row>
    <row r="209" spans="2:17">
      <c r="B209" s="1517"/>
      <c r="C209" s="1518"/>
      <c r="D209" s="1519"/>
      <c r="E209" s="1519"/>
      <c r="F209" s="1520"/>
      <c r="G209" s="1521"/>
      <c r="H209" s="1522"/>
      <c r="Q209" s="1365" t="str">
        <f t="shared" si="3"/>
        <v/>
      </c>
    </row>
    <row r="210" spans="2:17">
      <c r="B210" s="1517"/>
      <c r="C210" s="1518"/>
      <c r="D210" s="1519"/>
      <c r="E210" s="1519"/>
      <c r="F210" s="1520"/>
      <c r="G210" s="1521"/>
      <c r="H210" s="1522"/>
      <c r="Q210" s="1365" t="str">
        <f t="shared" si="3"/>
        <v/>
      </c>
    </row>
    <row r="211" spans="2:17">
      <c r="B211" s="1517"/>
      <c r="C211" s="1518"/>
      <c r="D211" s="1519"/>
      <c r="E211" s="1519"/>
      <c r="F211" s="1520"/>
      <c r="G211" s="1521"/>
      <c r="H211" s="1522"/>
      <c r="Q211" s="1365" t="str">
        <f t="shared" si="3"/>
        <v/>
      </c>
    </row>
    <row r="212" spans="2:17">
      <c r="B212" s="1517"/>
      <c r="C212" s="1518"/>
      <c r="D212" s="1519"/>
      <c r="E212" s="1519"/>
      <c r="F212" s="1520"/>
      <c r="G212" s="1521"/>
      <c r="H212" s="1522"/>
      <c r="Q212" s="1365" t="str">
        <f t="shared" si="3"/>
        <v/>
      </c>
    </row>
    <row r="213" spans="2:17">
      <c r="B213" s="1517"/>
      <c r="C213" s="1518"/>
      <c r="D213" s="1519"/>
      <c r="E213" s="1519"/>
      <c r="F213" s="1520"/>
      <c r="G213" s="1521"/>
      <c r="H213" s="1522"/>
      <c r="Q213" s="1365" t="str">
        <f t="shared" si="3"/>
        <v/>
      </c>
    </row>
    <row r="214" spans="2:17">
      <c r="B214" s="1517"/>
      <c r="C214" s="1518"/>
      <c r="D214" s="1519"/>
      <c r="E214" s="1519"/>
      <c r="F214" s="1520"/>
      <c r="G214" s="1521"/>
      <c r="H214" s="1522"/>
      <c r="Q214" s="1365" t="str">
        <f t="shared" si="3"/>
        <v/>
      </c>
    </row>
    <row r="215" spans="2:17">
      <c r="B215" s="1517"/>
      <c r="C215" s="1518"/>
      <c r="D215" s="1519"/>
      <c r="E215" s="1519"/>
      <c r="F215" s="1520"/>
      <c r="G215" s="1521"/>
      <c r="H215" s="1522"/>
      <c r="Q215" s="1365" t="str">
        <f t="shared" si="3"/>
        <v/>
      </c>
    </row>
    <row r="216" spans="2:17">
      <c r="B216" s="1517"/>
      <c r="C216" s="1518"/>
      <c r="D216" s="1519"/>
      <c r="E216" s="1519"/>
      <c r="F216" s="1520"/>
      <c r="G216" s="1521"/>
      <c r="H216" s="1522"/>
      <c r="Q216" s="1365" t="str">
        <f t="shared" si="3"/>
        <v/>
      </c>
    </row>
    <row r="217" spans="2:17">
      <c r="B217" s="1517"/>
      <c r="C217" s="1518"/>
      <c r="D217" s="1519"/>
      <c r="E217" s="1519"/>
      <c r="F217" s="1520"/>
      <c r="G217" s="1521"/>
      <c r="H217" s="1522"/>
      <c r="Q217" s="1365" t="str">
        <f t="shared" si="3"/>
        <v/>
      </c>
    </row>
    <row r="218" spans="2:17">
      <c r="B218" s="1517"/>
      <c r="C218" s="1518"/>
      <c r="D218" s="1519"/>
      <c r="E218" s="1519"/>
      <c r="F218" s="1520"/>
      <c r="G218" s="1521"/>
      <c r="H218" s="1522"/>
      <c r="Q218" s="1365" t="str">
        <f t="shared" si="3"/>
        <v/>
      </c>
    </row>
    <row r="219" spans="2:17">
      <c r="B219" s="1517"/>
      <c r="C219" s="1518"/>
      <c r="D219" s="1519"/>
      <c r="E219" s="1519"/>
      <c r="F219" s="1520"/>
      <c r="G219" s="1521"/>
      <c r="H219" s="1522"/>
      <c r="Q219" s="1365" t="str">
        <f t="shared" si="3"/>
        <v/>
      </c>
    </row>
    <row r="220" spans="2:17">
      <c r="B220" s="1517"/>
      <c r="C220" s="1518"/>
      <c r="D220" s="1519"/>
      <c r="E220" s="1519"/>
      <c r="F220" s="1520"/>
      <c r="G220" s="1521"/>
      <c r="H220" s="1522"/>
      <c r="Q220" s="1365" t="str">
        <f t="shared" si="3"/>
        <v/>
      </c>
    </row>
    <row r="221" spans="2:17" ht="14.25" thickBot="1">
      <c r="B221" s="1523"/>
      <c r="C221" s="1524"/>
      <c r="D221" s="1525"/>
      <c r="E221" s="1525"/>
      <c r="F221" s="1526"/>
      <c r="G221" s="1527"/>
      <c r="H221" s="1528"/>
      <c r="Q221" s="1365" t="str">
        <f t="shared" si="3"/>
        <v/>
      </c>
    </row>
    <row r="222" spans="2:17" ht="14.25" thickTop="1">
      <c r="B222" s="1353"/>
      <c r="C222" s="1353"/>
      <c r="D222" s="1353"/>
      <c r="E222" s="1353"/>
      <c r="F222" s="1353"/>
      <c r="G222" s="1353"/>
      <c r="H222" s="1353"/>
      <c r="Q222" s="1366"/>
    </row>
    <row r="223" spans="2:17">
      <c r="Q223" s="1367"/>
    </row>
    <row r="224" spans="2:17">
      <c r="Q224" s="1367"/>
    </row>
    <row r="225" spans="17:17">
      <c r="Q225" s="1367"/>
    </row>
    <row r="226" spans="17:17">
      <c r="Q226" s="1367"/>
    </row>
    <row r="227" spans="17:17">
      <c r="Q227" s="1367"/>
    </row>
    <row r="228" spans="17:17">
      <c r="Q228" s="1367"/>
    </row>
    <row r="229" spans="17:17">
      <c r="Q229" s="1367"/>
    </row>
    <row r="230" spans="17:17">
      <c r="Q230" s="1367"/>
    </row>
    <row r="231" spans="17:17">
      <c r="Q231" s="1367"/>
    </row>
    <row r="232" spans="17:17">
      <c r="Q232" s="1367"/>
    </row>
    <row r="233" spans="17:17">
      <c r="Q233" s="1367"/>
    </row>
  </sheetData>
  <sheetProtection algorithmName="SHA-512" hashValue="wYi+5Cpws2v+ws3j661H62bHFpRo7txY8jo/v7Fw6N3VW8blx7N8gFLQ2wgDYzL3J1SEpq4btEmMq2Mp8kgX7w==" saltValue="dt5nB/xGfYbBEe0Wk3h/OA==" spinCount="100000" sheet="1" objects="1" scenarios="1"/>
  <mergeCells count="1">
    <mergeCell ref="B3:H7"/>
  </mergeCells>
  <phoneticPr fontId="5"/>
  <pageMargins left="0.7" right="0.7" top="0.75" bottom="0.75" header="0.3" footer="0.3"/>
  <pageSetup paperSize="9" orientation="portrait" copies="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indexed="44"/>
    <pageSetUpPr autoPageBreaks="0"/>
  </sheetPr>
  <dimension ref="A1:AK189"/>
  <sheetViews>
    <sheetView showGridLines="0" zoomScaleNormal="100" zoomScaleSheetLayoutView="80" workbookViewId="0"/>
  </sheetViews>
  <sheetFormatPr defaultRowHeight="14.25"/>
  <cols>
    <col min="1" max="1" width="4.375" style="234" customWidth="1"/>
    <col min="2" max="2" width="16.25" style="198" customWidth="1"/>
    <col min="3" max="3" width="14.625" style="199" customWidth="1"/>
    <col min="4" max="8" width="12.875" style="199" customWidth="1"/>
    <col min="9" max="9" width="43.125" style="200" customWidth="1"/>
    <col min="10" max="10" width="4.375" style="200" customWidth="1"/>
    <col min="11" max="12" width="3.75" style="200" customWidth="1"/>
    <col min="13" max="16" width="14.125" style="200" customWidth="1"/>
    <col min="17" max="17" width="29.75" style="200" customWidth="1"/>
    <col min="18" max="20" width="9.125" style="199" hidden="1" customWidth="1"/>
    <col min="21" max="37" width="9" style="199" hidden="1" customWidth="1"/>
    <col min="38" max="16384" width="9" style="199"/>
  </cols>
  <sheetData>
    <row r="1" spans="1:37" ht="21.75" customHeight="1">
      <c r="A1" s="292" t="s">
        <v>669</v>
      </c>
      <c r="F1" s="1974" t="s">
        <v>18</v>
      </c>
      <c r="G1" s="1975"/>
      <c r="H1" s="1975"/>
      <c r="I1" s="1976"/>
      <c r="R1" s="518" t="s">
        <v>337</v>
      </c>
      <c r="S1" s="486"/>
      <c r="T1" s="486"/>
      <c r="U1" s="486"/>
      <c r="V1" s="486"/>
    </row>
    <row r="2" spans="1:37" ht="27" customHeight="1">
      <c r="A2" s="233" t="s">
        <v>989</v>
      </c>
      <c r="F2" s="1977"/>
      <c r="G2" s="1978"/>
      <c r="H2" s="1978"/>
      <c r="I2" s="1979"/>
      <c r="R2" s="199">
        <v>0</v>
      </c>
      <c r="S2" s="199" t="s">
        <v>551</v>
      </c>
      <c r="AA2" s="2003" t="s">
        <v>1692</v>
      </c>
      <c r="AB2" s="2004"/>
      <c r="AC2" s="2007" t="s">
        <v>1693</v>
      </c>
      <c r="AD2" s="2008"/>
      <c r="AE2" s="2009"/>
      <c r="AF2" s="2007" t="s">
        <v>1694</v>
      </c>
      <c r="AG2" s="2008"/>
      <c r="AH2" s="2008"/>
      <c r="AI2" s="2009"/>
    </row>
    <row r="3" spans="1:37" ht="5.25" customHeight="1">
      <c r="AA3" s="2005"/>
      <c r="AB3" s="2006"/>
      <c r="AC3" s="1163" t="s">
        <v>1695</v>
      </c>
      <c r="AD3" s="1164" t="s">
        <v>1696</v>
      </c>
      <c r="AE3" s="1165" t="s">
        <v>1697</v>
      </c>
      <c r="AF3" s="1166" t="s">
        <v>1695</v>
      </c>
      <c r="AG3" s="1167" t="s">
        <v>1698</v>
      </c>
      <c r="AH3" s="1168" t="s">
        <v>1696</v>
      </c>
      <c r="AI3" s="1169" t="s">
        <v>1697</v>
      </c>
    </row>
    <row r="4" spans="1:37" ht="9" customHeight="1">
      <c r="A4" s="233"/>
      <c r="Z4" s="199">
        <v>2</v>
      </c>
      <c r="AA4" s="204" t="s">
        <v>334</v>
      </c>
      <c r="AB4" s="205"/>
      <c r="AC4" s="1173" t="s">
        <v>1704</v>
      </c>
      <c r="AD4" s="1174">
        <v>22</v>
      </c>
      <c r="AE4" s="1174">
        <v>6</v>
      </c>
      <c r="AF4" s="1174" t="s">
        <v>1761</v>
      </c>
      <c r="AG4" s="1174" t="str">
        <f>VLOOKUP($AI4,$AJ$4:$AK$29,2,FALSE) &amp; AH4</f>
        <v>K247</v>
      </c>
      <c r="AH4" s="1174">
        <v>247</v>
      </c>
      <c r="AI4" s="1174">
        <v>11</v>
      </c>
      <c r="AJ4" s="857">
        <v>2</v>
      </c>
      <c r="AK4" s="857" t="s">
        <v>1762</v>
      </c>
    </row>
    <row r="5" spans="1:37" ht="9" customHeight="1">
      <c r="Z5" s="199">
        <v>3</v>
      </c>
      <c r="AA5" s="204" t="s">
        <v>1699</v>
      </c>
      <c r="AB5" s="205"/>
      <c r="AC5" s="1173" t="s">
        <v>1704</v>
      </c>
      <c r="AD5" s="1174">
        <v>23</v>
      </c>
      <c r="AE5" s="1174">
        <v>6</v>
      </c>
      <c r="AF5" s="1174" t="s">
        <v>1761</v>
      </c>
      <c r="AG5" s="1174" t="str">
        <f>VLOOKUP($AI5,$AJ$4:$AK$29,2,FALSE) &amp; AH5</f>
        <v>K8</v>
      </c>
      <c r="AH5" s="1174">
        <v>8</v>
      </c>
      <c r="AI5" s="1174">
        <v>11</v>
      </c>
      <c r="AJ5" s="857">
        <v>3</v>
      </c>
      <c r="AK5" s="857" t="s">
        <v>1763</v>
      </c>
    </row>
    <row r="6" spans="1:37" s="1236" customFormat="1">
      <c r="A6" s="1234" t="s">
        <v>1808</v>
      </c>
      <c r="B6" s="1235"/>
      <c r="I6" s="1237"/>
      <c r="J6" s="1237"/>
      <c r="K6" s="1237"/>
      <c r="L6" s="1237"/>
      <c r="M6" s="1237"/>
      <c r="N6" s="1237"/>
      <c r="O6" s="1237"/>
      <c r="P6" s="1237"/>
      <c r="Q6" s="1237"/>
      <c r="Z6" s="857">
        <f t="shared" ref="Z6" si="0">Z5+1</f>
        <v>4</v>
      </c>
      <c r="AA6" s="1238" t="s">
        <v>1699</v>
      </c>
      <c r="AB6" s="1239"/>
      <c r="AC6" s="1240" t="s">
        <v>1809</v>
      </c>
      <c r="AD6" s="1240">
        <v>23</v>
      </c>
      <c r="AE6" s="1241">
        <v>6</v>
      </c>
      <c r="AF6" s="1242" t="s">
        <v>1810</v>
      </c>
      <c r="AG6" s="1243" t="str">
        <f t="shared" ref="AG6" si="1">VLOOKUP(AI6,$AJ$4:$AK$29,2,0) &amp; AH6</f>
        <v>K8</v>
      </c>
      <c r="AH6" s="1244">
        <v>8</v>
      </c>
      <c r="AI6" s="1245">
        <v>11</v>
      </c>
      <c r="AJ6" s="857">
        <v>3</v>
      </c>
      <c r="AK6" s="857" t="s">
        <v>1763</v>
      </c>
    </row>
    <row r="7" spans="1:37" ht="9" customHeight="1">
      <c r="Z7" s="199">
        <v>4</v>
      </c>
      <c r="AA7" s="204" t="s">
        <v>1700</v>
      </c>
      <c r="AB7" s="205"/>
      <c r="AC7" s="1173" t="s">
        <v>1704</v>
      </c>
      <c r="AD7" s="1174">
        <v>24</v>
      </c>
      <c r="AE7" s="1174">
        <v>6</v>
      </c>
      <c r="AF7" s="1174" t="s">
        <v>1761</v>
      </c>
      <c r="AG7" s="1174" t="str">
        <f t="shared" ref="AG7:AG38" si="2">VLOOKUP($AI7,$AJ$4:$AK$29,2,FALSE) &amp; AH7</f>
        <v>K9</v>
      </c>
      <c r="AH7" s="1174">
        <v>9</v>
      </c>
      <c r="AI7" s="1174">
        <v>11</v>
      </c>
      <c r="AJ7" s="857">
        <v>4</v>
      </c>
      <c r="AK7" s="857" t="s">
        <v>1764</v>
      </c>
    </row>
    <row r="8" spans="1:37" ht="9" customHeight="1">
      <c r="Z8" s="199">
        <v>5</v>
      </c>
      <c r="AA8" s="1192" t="s">
        <v>1687</v>
      </c>
      <c r="AB8" s="1193"/>
      <c r="AC8" s="1188" t="s">
        <v>1704</v>
      </c>
      <c r="AD8" s="1194">
        <v>25</v>
      </c>
      <c r="AE8" s="1194">
        <v>6</v>
      </c>
      <c r="AF8" s="1194" t="s">
        <v>1761</v>
      </c>
      <c r="AG8" s="1194" t="str">
        <f t="shared" si="2"/>
        <v>K2</v>
      </c>
      <c r="AH8" s="1194">
        <v>2</v>
      </c>
      <c r="AI8" s="1194">
        <v>11</v>
      </c>
      <c r="AJ8" s="857">
        <v>5</v>
      </c>
      <c r="AK8" s="857" t="s">
        <v>1765</v>
      </c>
    </row>
    <row r="9" spans="1:37" ht="9" customHeight="1">
      <c r="C9" s="198"/>
      <c r="Z9" s="199">
        <v>6</v>
      </c>
      <c r="AA9" s="204" t="s">
        <v>1701</v>
      </c>
      <c r="AB9" s="205"/>
      <c r="AC9" s="1173" t="s">
        <v>1704</v>
      </c>
      <c r="AD9" s="1174">
        <v>26</v>
      </c>
      <c r="AE9" s="1174">
        <v>6</v>
      </c>
      <c r="AF9" s="1174" t="s">
        <v>1761</v>
      </c>
      <c r="AG9" s="1174" t="str">
        <f t="shared" si="2"/>
        <v>K10</v>
      </c>
      <c r="AH9" s="1174">
        <v>10</v>
      </c>
      <c r="AI9" s="1174">
        <v>11</v>
      </c>
      <c r="AJ9" s="857">
        <v>6</v>
      </c>
      <c r="AK9" s="857" t="s">
        <v>1766</v>
      </c>
    </row>
    <row r="10" spans="1:37" ht="21.75" customHeight="1">
      <c r="A10" s="233"/>
      <c r="C10" s="198"/>
      <c r="F10" s="298" t="s">
        <v>400</v>
      </c>
      <c r="G10" s="1983" t="s">
        <v>693</v>
      </c>
      <c r="H10" s="1994"/>
      <c r="I10" s="1984"/>
      <c r="J10" s="303"/>
      <c r="K10" s="303"/>
      <c r="L10" s="303"/>
      <c r="M10" s="303"/>
      <c r="N10" s="303"/>
      <c r="O10" s="303"/>
      <c r="P10" s="303"/>
      <c r="Q10" s="303"/>
      <c r="U10" s="301"/>
      <c r="V10" s="301"/>
      <c r="Z10" s="199">
        <v>7</v>
      </c>
      <c r="AA10" s="204" t="s">
        <v>860</v>
      </c>
      <c r="AB10" s="205"/>
      <c r="AC10" s="1173" t="s">
        <v>1704</v>
      </c>
      <c r="AD10" s="1174">
        <v>27</v>
      </c>
      <c r="AE10" s="1174">
        <v>6</v>
      </c>
      <c r="AF10" s="1174" t="s">
        <v>1761</v>
      </c>
      <c r="AG10" s="1174" t="str">
        <f t="shared" si="2"/>
        <v>K14</v>
      </c>
      <c r="AH10" s="1174">
        <v>14</v>
      </c>
      <c r="AI10" s="1174">
        <v>11</v>
      </c>
      <c r="AJ10" s="857">
        <v>7</v>
      </c>
      <c r="AK10" s="857" t="s">
        <v>1767</v>
      </c>
    </row>
    <row r="11" spans="1:37" ht="21.75" customHeight="1">
      <c r="E11" s="201" t="s">
        <v>662</v>
      </c>
      <c r="F11" s="290">
        <f>一般事項!F5</f>
        <v>0</v>
      </c>
      <c r="G11" s="1948" t="str">
        <f>IF(工事情報!G4="","",工事情報!G4)</f>
        <v/>
      </c>
      <c r="H11" s="1949"/>
      <c r="I11" s="1950"/>
      <c r="J11" s="304"/>
      <c r="K11" s="304"/>
      <c r="L11" s="304"/>
      <c r="M11" s="304"/>
      <c r="N11" s="304"/>
      <c r="O11" s="304"/>
      <c r="P11" s="304"/>
      <c r="Q11" s="304"/>
      <c r="V11" s="231"/>
      <c r="Z11" s="199">
        <v>8</v>
      </c>
      <c r="AA11" s="1192" t="s">
        <v>1702</v>
      </c>
      <c r="AB11" s="1193"/>
      <c r="AC11" s="1188" t="s">
        <v>1704</v>
      </c>
      <c r="AD11" s="1194">
        <v>28</v>
      </c>
      <c r="AE11" s="1194">
        <v>6</v>
      </c>
      <c r="AF11" s="1194" t="s">
        <v>1761</v>
      </c>
      <c r="AG11" s="1194" t="e">
        <f t="shared" si="2"/>
        <v>#N/A</v>
      </c>
      <c r="AH11" s="1194">
        <v>2</v>
      </c>
      <c r="AI11" s="1194">
        <v>1</v>
      </c>
      <c r="AJ11" s="857">
        <v>8</v>
      </c>
      <c r="AK11" s="857" t="s">
        <v>1768</v>
      </c>
    </row>
    <row r="12" spans="1:37" ht="21.75" customHeight="1">
      <c r="E12" s="203" t="s">
        <v>896</v>
      </c>
      <c r="F12" s="232">
        <f>元請調査票データ!E8</f>
        <v>0</v>
      </c>
      <c r="G12" s="1948" t="str">
        <f>IF(元請調査票データ!E9="","",元請調査票データ!E9)</f>
        <v/>
      </c>
      <c r="H12" s="1949"/>
      <c r="I12" s="1950"/>
      <c r="J12"/>
      <c r="K12"/>
      <c r="L12"/>
      <c r="M12"/>
      <c r="N12"/>
      <c r="O12"/>
      <c r="P12"/>
      <c r="Q12"/>
      <c r="Z12" s="199">
        <v>9</v>
      </c>
      <c r="AA12" s="1192" t="s">
        <v>1703</v>
      </c>
      <c r="AB12" s="1193"/>
      <c r="AC12" s="1188" t="s">
        <v>1704</v>
      </c>
      <c r="AD12" s="1194">
        <v>29</v>
      </c>
      <c r="AE12" s="1194">
        <v>6</v>
      </c>
      <c r="AF12" s="1194" t="s">
        <v>1761</v>
      </c>
      <c r="AG12" s="1194" t="e">
        <f t="shared" si="2"/>
        <v>#N/A</v>
      </c>
      <c r="AH12" s="1194">
        <v>2</v>
      </c>
      <c r="AI12" s="1194">
        <v>1</v>
      </c>
      <c r="AJ12" s="857">
        <v>9</v>
      </c>
      <c r="AK12" s="857" t="s">
        <v>1769</v>
      </c>
    </row>
    <row r="13" spans="1:37" ht="14.25" customHeight="1">
      <c r="A13" s="233" t="s">
        <v>205</v>
      </c>
      <c r="F13" s="302" t="str">
        <f>IF(AND(F11&lt;&gt;"",F12&lt;&gt;"")=TRUE,IF(F11&lt;&gt;F12,"整理番号が一致していません。
発注の整理番号の修正は『チェック』シートのＣ4セル、元請の整理番号の修正は元請ファイル『確認』シートで行ってください。",""),"")</f>
        <v/>
      </c>
      <c r="G13" s="302"/>
      <c r="H13" s="302"/>
      <c r="I13" s="302"/>
      <c r="J13" s="305"/>
      <c r="K13" s="305"/>
      <c r="L13" s="305"/>
      <c r="M13" s="305"/>
      <c r="N13" s="305"/>
      <c r="O13" s="305"/>
      <c r="P13" s="305"/>
      <c r="Q13" s="305"/>
      <c r="Z13" s="199">
        <v>10</v>
      </c>
      <c r="AA13" s="204" t="s">
        <v>897</v>
      </c>
      <c r="AB13" s="205"/>
      <c r="AC13" s="1173" t="s">
        <v>1704</v>
      </c>
      <c r="AD13" s="1174">
        <v>31</v>
      </c>
      <c r="AE13" s="1174">
        <v>6</v>
      </c>
      <c r="AF13" s="1174" t="s">
        <v>1761</v>
      </c>
      <c r="AG13" s="1174" t="str">
        <f t="shared" si="2"/>
        <v>K25</v>
      </c>
      <c r="AH13" s="1174">
        <v>25</v>
      </c>
      <c r="AI13" s="1174">
        <v>11</v>
      </c>
      <c r="AJ13" s="857">
        <v>10</v>
      </c>
      <c r="AK13" s="857" t="s">
        <v>1770</v>
      </c>
    </row>
    <row r="14" spans="1:37" ht="16.5" customHeight="1">
      <c r="A14" s="373" t="s">
        <v>1181</v>
      </c>
      <c r="B14" s="371"/>
      <c r="V14" s="231"/>
      <c r="Z14" s="199">
        <v>11</v>
      </c>
      <c r="AA14" s="204" t="s">
        <v>126</v>
      </c>
      <c r="AB14" s="205"/>
      <c r="AC14" s="1173" t="s">
        <v>1704</v>
      </c>
      <c r="AD14" s="1174">
        <v>36</v>
      </c>
      <c r="AE14" s="1174">
        <v>6</v>
      </c>
      <c r="AF14" s="1174" t="s">
        <v>1761</v>
      </c>
      <c r="AG14" s="1174" t="str">
        <f t="shared" si="2"/>
        <v>K173</v>
      </c>
      <c r="AH14" s="1174">
        <v>173</v>
      </c>
      <c r="AI14" s="1174">
        <v>11</v>
      </c>
      <c r="AJ14" s="857">
        <v>11</v>
      </c>
      <c r="AK14" s="857" t="s">
        <v>1771</v>
      </c>
    </row>
    <row r="15" spans="1:37" ht="16.5" customHeight="1">
      <c r="A15" s="374" t="s">
        <v>606</v>
      </c>
      <c r="V15" s="231"/>
      <c r="Z15" s="199">
        <v>12</v>
      </c>
      <c r="AA15" s="204" t="s">
        <v>1705</v>
      </c>
      <c r="AB15" s="205"/>
      <c r="AC15" s="1173" t="s">
        <v>1704</v>
      </c>
      <c r="AD15" s="1174">
        <v>37</v>
      </c>
      <c r="AE15" s="1174">
        <v>6</v>
      </c>
      <c r="AF15" s="1174" t="s">
        <v>1761</v>
      </c>
      <c r="AG15" s="1174" t="str">
        <f t="shared" si="2"/>
        <v>K174</v>
      </c>
      <c r="AH15" s="1174">
        <v>174</v>
      </c>
      <c r="AI15" s="1174">
        <v>11</v>
      </c>
      <c r="AJ15" s="857">
        <v>12</v>
      </c>
      <c r="AK15" s="857" t="s">
        <v>1772</v>
      </c>
    </row>
    <row r="16" spans="1:37" ht="16.5" customHeight="1">
      <c r="A16" s="158" t="s">
        <v>460</v>
      </c>
      <c r="Z16" s="199">
        <v>13</v>
      </c>
      <c r="AA16" s="204" t="s">
        <v>46</v>
      </c>
      <c r="AB16" s="205"/>
      <c r="AC16" s="1173" t="s">
        <v>1704</v>
      </c>
      <c r="AD16" s="1174">
        <v>38</v>
      </c>
      <c r="AE16" s="1174">
        <v>6</v>
      </c>
      <c r="AF16" s="1174" t="s">
        <v>1761</v>
      </c>
      <c r="AG16" s="1174" t="str">
        <f t="shared" si="2"/>
        <v>K236</v>
      </c>
      <c r="AH16" s="1174">
        <v>236</v>
      </c>
      <c r="AI16" s="1174">
        <v>11</v>
      </c>
      <c r="AJ16" s="857">
        <v>13</v>
      </c>
      <c r="AK16" s="857" t="s">
        <v>1773</v>
      </c>
    </row>
    <row r="17" spans="1:37" ht="16.5" customHeight="1">
      <c r="A17" s="158" t="s">
        <v>760</v>
      </c>
      <c r="Z17" s="199">
        <v>14</v>
      </c>
      <c r="AA17" s="1192" t="s">
        <v>1706</v>
      </c>
      <c r="AB17" s="1193"/>
      <c r="AC17" s="1188" t="s">
        <v>1704</v>
      </c>
      <c r="AD17" s="1194">
        <v>39</v>
      </c>
      <c r="AE17" s="1194">
        <v>6</v>
      </c>
      <c r="AF17" s="1194" t="s">
        <v>1761</v>
      </c>
      <c r="AG17" s="1194" t="e">
        <f t="shared" si="2"/>
        <v>#N/A</v>
      </c>
      <c r="AH17" s="1194">
        <v>2</v>
      </c>
      <c r="AI17" s="1194">
        <v>1</v>
      </c>
      <c r="AJ17" s="857">
        <v>14</v>
      </c>
      <c r="AK17" s="857" t="s">
        <v>1774</v>
      </c>
    </row>
    <row r="18" spans="1:37" ht="14.25" customHeight="1">
      <c r="B18" s="1983" t="s">
        <v>661</v>
      </c>
      <c r="C18" s="1984"/>
      <c r="D18" s="1989" t="s">
        <v>694</v>
      </c>
      <c r="E18" s="1990"/>
      <c r="F18" s="1989" t="s">
        <v>695</v>
      </c>
      <c r="G18" s="1990"/>
      <c r="H18" s="1998" t="s">
        <v>755</v>
      </c>
      <c r="I18" s="1995" t="s">
        <v>112</v>
      </c>
      <c r="J18" s="306"/>
      <c r="K18" s="306"/>
      <c r="L18" s="306"/>
      <c r="M18" s="306"/>
      <c r="N18" s="306"/>
      <c r="O18" s="306"/>
      <c r="P18" s="306"/>
      <c r="Q18" s="306"/>
      <c r="V18" s="231"/>
      <c r="Z18" s="199">
        <v>15</v>
      </c>
      <c r="AA18" s="204" t="s">
        <v>399</v>
      </c>
      <c r="AB18" s="205"/>
      <c r="AC18" s="1173" t="s">
        <v>1704</v>
      </c>
      <c r="AD18" s="1174">
        <v>40</v>
      </c>
      <c r="AE18" s="1174">
        <v>6</v>
      </c>
      <c r="AF18" s="1174" t="s">
        <v>1761</v>
      </c>
      <c r="AG18" s="1174" t="str">
        <f t="shared" si="2"/>
        <v>K240</v>
      </c>
      <c r="AH18" s="1174">
        <v>240</v>
      </c>
      <c r="AI18" s="1174">
        <v>11</v>
      </c>
      <c r="AJ18" s="857">
        <v>15</v>
      </c>
      <c r="AK18" s="857" t="s">
        <v>1775</v>
      </c>
    </row>
    <row r="19" spans="1:37" ht="14.25" customHeight="1">
      <c r="B19" s="1985"/>
      <c r="C19" s="1986"/>
      <c r="D19" s="1991"/>
      <c r="E19" s="1992"/>
      <c r="F19" s="1991"/>
      <c r="G19" s="1992"/>
      <c r="H19" s="1999"/>
      <c r="I19" s="1996"/>
      <c r="J19" s="306"/>
      <c r="K19" s="306"/>
      <c r="L19" s="306"/>
      <c r="M19" s="306"/>
      <c r="N19" s="306"/>
      <c r="O19" s="306"/>
      <c r="P19" s="306"/>
      <c r="Q19" s="306"/>
      <c r="V19" s="231"/>
      <c r="Z19" s="199">
        <v>16</v>
      </c>
      <c r="AA19" s="204" t="s">
        <v>1707</v>
      </c>
      <c r="AB19" s="205"/>
      <c r="AC19" s="1173" t="s">
        <v>1704</v>
      </c>
      <c r="AD19" s="1174">
        <v>41</v>
      </c>
      <c r="AE19" s="1174">
        <v>6</v>
      </c>
      <c r="AF19" s="1174" t="s">
        <v>1761</v>
      </c>
      <c r="AG19" s="1174" t="str">
        <f t="shared" si="2"/>
        <v>K241</v>
      </c>
      <c r="AH19" s="1174">
        <v>241</v>
      </c>
      <c r="AI19" s="1174">
        <v>11</v>
      </c>
      <c r="AJ19" s="857">
        <v>16</v>
      </c>
      <c r="AK19" s="857" t="s">
        <v>1776</v>
      </c>
    </row>
    <row r="20" spans="1:37" ht="22.5" customHeight="1">
      <c r="B20" s="1987"/>
      <c r="C20" s="1988"/>
      <c r="D20" s="223" t="s">
        <v>123</v>
      </c>
      <c r="E20" s="224" t="s">
        <v>433</v>
      </c>
      <c r="F20" s="297" t="s">
        <v>123</v>
      </c>
      <c r="G20" s="224" t="s">
        <v>433</v>
      </c>
      <c r="H20" s="2000"/>
      <c r="I20" s="1997"/>
      <c r="J20" s="306"/>
      <c r="K20" s="306"/>
      <c r="L20" s="306"/>
      <c r="M20" s="306"/>
      <c r="N20" s="306"/>
      <c r="O20" s="306"/>
      <c r="P20" s="306"/>
      <c r="Q20" s="306"/>
      <c r="U20" s="231"/>
      <c r="V20" s="231"/>
      <c r="Z20" s="199">
        <v>17</v>
      </c>
      <c r="AA20" s="204" t="s">
        <v>1708</v>
      </c>
      <c r="AB20" s="205"/>
      <c r="AC20" s="1173" t="s">
        <v>1704</v>
      </c>
      <c r="AD20" s="1174">
        <v>42</v>
      </c>
      <c r="AE20" s="1174">
        <v>6</v>
      </c>
      <c r="AF20" s="1174" t="s">
        <v>1761</v>
      </c>
      <c r="AG20" s="1174" t="str">
        <f t="shared" si="2"/>
        <v>K242</v>
      </c>
      <c r="AH20" s="1174">
        <v>242</v>
      </c>
      <c r="AI20" s="1174">
        <v>11</v>
      </c>
      <c r="AJ20" s="857">
        <v>17</v>
      </c>
      <c r="AK20" s="857" t="s">
        <v>1777</v>
      </c>
    </row>
    <row r="21" spans="1:37" ht="33.75" customHeight="1">
      <c r="B21" s="204" t="s">
        <v>672</v>
      </c>
      <c r="C21" s="205"/>
      <c r="D21" s="378" t="str">
        <f>IF(工事情報!G9="","",工事情報!G9)</f>
        <v/>
      </c>
      <c r="E21" s="379"/>
      <c r="F21" s="378" t="str">
        <f>IF(元請調査票データ!H12="","",元請調査票データ!H12)</f>
        <v/>
      </c>
      <c r="G21" s="380"/>
      <c r="H21" s="375" t="str">
        <f>IF(AND(D21="",F21="")=TRUE,"要確認1",IF(D21="","要確認2",IF(F21="","要確認3",IF(D21&lt;&gt;F21,"要確認4","OK"))))</f>
        <v>要確認1</v>
      </c>
      <c r="I21" s="228"/>
      <c r="J21" s="307"/>
      <c r="K21" s="307"/>
      <c r="L21" s="307"/>
      <c r="M21" s="307"/>
      <c r="N21" s="307"/>
      <c r="O21" s="307"/>
      <c r="P21" s="307"/>
      <c r="Q21" s="307"/>
      <c r="U21" s="231"/>
      <c r="V21" s="231"/>
      <c r="Z21" s="199">
        <v>18</v>
      </c>
      <c r="AA21" s="204" t="s">
        <v>287</v>
      </c>
      <c r="AB21" s="205"/>
      <c r="AC21" s="1173" t="s">
        <v>1704</v>
      </c>
      <c r="AD21" s="1174">
        <v>43</v>
      </c>
      <c r="AE21" s="1174">
        <v>6</v>
      </c>
      <c r="AF21" s="1174" t="s">
        <v>1761</v>
      </c>
      <c r="AG21" s="1174" t="str">
        <f t="shared" si="2"/>
        <v>K246</v>
      </c>
      <c r="AH21" s="1174">
        <v>246</v>
      </c>
      <c r="AI21" s="1174">
        <v>11</v>
      </c>
      <c r="AJ21" s="857">
        <v>18</v>
      </c>
      <c r="AK21" s="857" t="s">
        <v>1778</v>
      </c>
    </row>
    <row r="22" spans="1:37" ht="33.75" customHeight="1">
      <c r="B22" s="204" t="s">
        <v>334</v>
      </c>
      <c r="C22" s="205"/>
      <c r="D22" s="378" t="str">
        <f>IF(工事情報!G10="","",工事情報!G10)</f>
        <v/>
      </c>
      <c r="E22" s="379"/>
      <c r="F22" s="378" t="str">
        <f>IF(元請調査票データ!H13="","",元請調査票データ!H13)</f>
        <v/>
      </c>
      <c r="G22" s="380"/>
      <c r="H22" s="375" t="str">
        <f>IF(AND(D22="",F22="")=TRUE,"要確認5",IF(D22="","要確認6",IF(F22="","要確認7",IF(D22&lt;&gt;F22,"要確認8","OK"))))</f>
        <v>要確認5</v>
      </c>
      <c r="I22" s="228"/>
      <c r="J22" s="307"/>
      <c r="K22" s="307"/>
      <c r="L22" s="307"/>
      <c r="M22" s="307"/>
      <c r="N22" s="307"/>
      <c r="O22" s="307"/>
      <c r="P22" s="307"/>
      <c r="Q22" s="307"/>
      <c r="V22" s="231"/>
      <c r="W22" s="792" t="s">
        <v>1011</v>
      </c>
      <c r="Z22" s="199">
        <v>19</v>
      </c>
      <c r="AA22" s="1171" t="s">
        <v>397</v>
      </c>
      <c r="AB22" s="1176" t="s">
        <v>1709</v>
      </c>
      <c r="AC22" s="1173" t="s">
        <v>1704</v>
      </c>
      <c r="AD22" s="1174">
        <v>50</v>
      </c>
      <c r="AE22" s="1174">
        <v>15</v>
      </c>
      <c r="AF22" s="1174" t="s">
        <v>1761</v>
      </c>
      <c r="AG22" s="1174" t="str">
        <f t="shared" si="2"/>
        <v>K29</v>
      </c>
      <c r="AH22" s="1174">
        <v>29</v>
      </c>
      <c r="AI22" s="1174">
        <v>11</v>
      </c>
      <c r="AJ22" s="857">
        <v>19</v>
      </c>
      <c r="AK22" s="857" t="s">
        <v>1779</v>
      </c>
    </row>
    <row r="23" spans="1:37" ht="33.75" customHeight="1">
      <c r="B23" s="206" t="s">
        <v>603</v>
      </c>
      <c r="C23" s="207"/>
      <c r="D23" s="378" t="str">
        <f>IF(工事費!J9="","",工事費!J9)</f>
        <v/>
      </c>
      <c r="E23" s="382" t="str">
        <f>IF(D23="","",D23/$D$43)</f>
        <v/>
      </c>
      <c r="F23" s="378" t="str">
        <f>IF(元請調査票データ!H14="","",元請調査票データ!H14)</f>
        <v/>
      </c>
      <c r="G23" s="382" t="str">
        <f>IF(F23="","",F23/$F$43)</f>
        <v/>
      </c>
      <c r="H23" s="375" t="str">
        <f t="shared" ref="H23:H29" si="3">IF(I23="",R23,IF(AND(R23&lt;&gt;"OK",I23&lt;&gt;""),"要確認→OK",R23))</f>
        <v>要確認9</v>
      </c>
      <c r="I23" s="369"/>
      <c r="J23" s="231"/>
      <c r="K23" s="231"/>
      <c r="L23" s="231"/>
      <c r="M23" s="231"/>
      <c r="N23" s="231"/>
      <c r="O23" s="231"/>
      <c r="P23" s="231"/>
      <c r="Q23" s="231"/>
      <c r="R23" s="450" t="str">
        <f>IF(AND(D23="",F23="")=TRUE,"要確認9",IF(D23="","要確認10",IF(F23="","要確認11",IF(D23=0,"要確認12",IF(F23=0,"要確認13",IF(W23&gt;=50,"要確認14",IF(W23&lt;=-50,"要確認15","OK")))))))</f>
        <v>要確認9</v>
      </c>
      <c r="W23" s="199" t="e">
        <f>(F23-D23)*100/D23</f>
        <v>#VALUE!</v>
      </c>
      <c r="Z23" s="199">
        <v>20</v>
      </c>
      <c r="AA23" s="709"/>
      <c r="AB23" s="1176" t="s">
        <v>1710</v>
      </c>
      <c r="AC23" s="1173" t="s">
        <v>1704</v>
      </c>
      <c r="AD23" s="1174">
        <v>51</v>
      </c>
      <c r="AE23" s="1174">
        <v>16</v>
      </c>
      <c r="AF23" s="1174" t="s">
        <v>1761</v>
      </c>
      <c r="AG23" s="1174" t="str">
        <f t="shared" si="2"/>
        <v>K30</v>
      </c>
      <c r="AH23" s="1174">
        <v>30</v>
      </c>
      <c r="AI23" s="1174">
        <v>11</v>
      </c>
      <c r="AJ23" s="857">
        <v>20</v>
      </c>
      <c r="AK23" s="857" t="s">
        <v>1780</v>
      </c>
    </row>
    <row r="24" spans="1:37" ht="33.75" customHeight="1">
      <c r="B24" s="225" t="s">
        <v>347</v>
      </c>
      <c r="C24" s="205"/>
      <c r="D24" s="378" t="str">
        <f>IF(工事費!J10="","",工事費!J10)</f>
        <v/>
      </c>
      <c r="E24" s="382" t="str">
        <f>IF(D24="","",D24/$D$43)</f>
        <v/>
      </c>
      <c r="F24" s="378" t="str">
        <f>IF(元請調査票データ!H15="","",元請調査票データ!H15)</f>
        <v/>
      </c>
      <c r="G24" s="382" t="str">
        <f>IF(F24="","",F24/$F$43)</f>
        <v/>
      </c>
      <c r="H24" s="375" t="str">
        <f t="shared" si="3"/>
        <v>要確認16</v>
      </c>
      <c r="I24" s="369"/>
      <c r="J24" s="231"/>
      <c r="K24" s="231"/>
      <c r="L24" s="231"/>
      <c r="M24" s="231"/>
      <c r="N24" s="231"/>
      <c r="O24" s="231"/>
      <c r="P24" s="231"/>
      <c r="Q24" s="231"/>
      <c r="R24" s="450" t="str">
        <f>IF(AND(D24="",F24="")=TRUE,"要確認16",IF(D24="","要確認17",IF(F24="","要確認18",IF(D24=0,"要確認19",IF(F24=0,"要確認20",IF(OR(W24&gt;=50),"要確認21",IF(OR(W24&lt;=-50),"要確認22","OK")))))))</f>
        <v>要確認16</v>
      </c>
      <c r="W24" s="199" t="e">
        <f>(F24-D24)*100/D24</f>
        <v>#VALUE!</v>
      </c>
      <c r="Z24" s="199">
        <v>21</v>
      </c>
      <c r="AA24" s="709"/>
      <c r="AB24" s="1176" t="s">
        <v>1711</v>
      </c>
      <c r="AC24" s="1173" t="s">
        <v>1704</v>
      </c>
      <c r="AD24" s="1174">
        <v>52</v>
      </c>
      <c r="AE24" s="1174">
        <v>15</v>
      </c>
      <c r="AF24" s="1174" t="s">
        <v>1761</v>
      </c>
      <c r="AG24" s="1174" t="str">
        <f t="shared" si="2"/>
        <v>K31</v>
      </c>
      <c r="AH24" s="1174">
        <v>31</v>
      </c>
      <c r="AI24" s="1174">
        <v>11</v>
      </c>
      <c r="AJ24" s="857">
        <v>21</v>
      </c>
      <c r="AK24" s="857" t="s">
        <v>1781</v>
      </c>
    </row>
    <row r="25" spans="1:37" ht="33.75" customHeight="1">
      <c r="B25" s="1217" t="s">
        <v>1799</v>
      </c>
      <c r="C25" s="205"/>
      <c r="D25" s="378" t="str">
        <f>IF(工事費!J11="","",工事費!J11)</f>
        <v/>
      </c>
      <c r="E25" s="383"/>
      <c r="F25" s="384"/>
      <c r="G25" s="380"/>
      <c r="H25" s="375" t="str">
        <f t="shared" si="3"/>
        <v>要確認23</v>
      </c>
      <c r="I25" s="369"/>
      <c r="J25" s="231"/>
      <c r="K25" s="231"/>
      <c r="L25" s="231"/>
      <c r="M25" s="231"/>
      <c r="N25" s="231"/>
      <c r="O25" s="231"/>
      <c r="P25" s="231"/>
      <c r="Q25" s="231"/>
      <c r="R25" s="450" t="str">
        <f>IF(D25="","要確認23","OK")</f>
        <v>要確認23</v>
      </c>
      <c r="V25" s="231"/>
      <c r="Z25" s="199">
        <v>22</v>
      </c>
      <c r="AA25" s="709"/>
      <c r="AB25" s="1176" t="s">
        <v>1712</v>
      </c>
      <c r="AC25" s="1173" t="s">
        <v>1704</v>
      </c>
      <c r="AD25" s="1174">
        <v>53</v>
      </c>
      <c r="AE25" s="1174">
        <v>15</v>
      </c>
      <c r="AF25" s="1174" t="s">
        <v>1761</v>
      </c>
      <c r="AG25" s="1174" t="str">
        <f t="shared" si="2"/>
        <v>K32</v>
      </c>
      <c r="AH25" s="1174">
        <v>32</v>
      </c>
      <c r="AI25" s="1174">
        <v>11</v>
      </c>
      <c r="AJ25" s="857">
        <v>22</v>
      </c>
      <c r="AK25" s="857" t="s">
        <v>1782</v>
      </c>
    </row>
    <row r="26" spans="1:37" ht="33.75" customHeight="1">
      <c r="B26" s="225" t="s">
        <v>348</v>
      </c>
      <c r="C26" s="205"/>
      <c r="D26" s="378" t="str">
        <f>IF(工事費!J12="","",工事費!J12)</f>
        <v/>
      </c>
      <c r="E26" s="382" t="str">
        <f>IF(D26="","",D26/$D$43)</f>
        <v/>
      </c>
      <c r="F26" s="378" t="str">
        <f>IF(元請調査票データ!H16="","",元請調査票データ!H16)</f>
        <v/>
      </c>
      <c r="G26" s="382" t="str">
        <f>IF(F26="","",F26/$F$43)</f>
        <v/>
      </c>
      <c r="H26" s="375" t="str">
        <f t="shared" si="3"/>
        <v>要確認24</v>
      </c>
      <c r="I26" s="369"/>
      <c r="J26" s="231"/>
      <c r="K26" s="231"/>
      <c r="L26" s="231"/>
      <c r="M26" s="231"/>
      <c r="N26" s="231"/>
      <c r="O26" s="231"/>
      <c r="P26" s="231"/>
      <c r="Q26" s="231"/>
      <c r="R26" s="450" t="str">
        <f>IF(AND(D26="",F26="")=TRUE,"要確認24",IF(D26="","要確認25",IF(F26="","要確認26",IF(D26=0,"要確認27",IF(F26=0,"要確認28",IF(OR(W26&gt;=50),"要確認29",IF(OR(W26&lt;=-50),"要確認30","OK")))))))</f>
        <v>要確認24</v>
      </c>
      <c r="V26" s="231"/>
      <c r="W26" s="199" t="e">
        <f>(F26-D26)*100/D26</f>
        <v>#VALUE!</v>
      </c>
      <c r="Z26" s="199">
        <v>23</v>
      </c>
      <c r="AA26" s="709"/>
      <c r="AB26" s="1176" t="s">
        <v>1713</v>
      </c>
      <c r="AC26" s="1173" t="s">
        <v>1704</v>
      </c>
      <c r="AD26" s="1174">
        <v>54</v>
      </c>
      <c r="AE26" s="1174">
        <v>15</v>
      </c>
      <c r="AF26" s="1174" t="s">
        <v>1761</v>
      </c>
      <c r="AG26" s="1174" t="str">
        <f t="shared" si="2"/>
        <v>K33</v>
      </c>
      <c r="AH26" s="1174">
        <v>33</v>
      </c>
      <c r="AI26" s="1174">
        <v>11</v>
      </c>
      <c r="AJ26" s="857">
        <v>23</v>
      </c>
      <c r="AK26" s="857" t="s">
        <v>1783</v>
      </c>
    </row>
    <row r="27" spans="1:37" ht="33.75" customHeight="1">
      <c r="B27" s="225" t="s">
        <v>860</v>
      </c>
      <c r="C27" s="205"/>
      <c r="D27" s="378" t="str">
        <f>IF(工事費!J15="","",工事費!J15)</f>
        <v/>
      </c>
      <c r="E27" s="382" t="str">
        <f>IF(D27="","",D27/$D$43)</f>
        <v/>
      </c>
      <c r="F27" s="378" t="str">
        <f>IF(元請調査票データ!H20="","",元請調査票データ!H20)</f>
        <v/>
      </c>
      <c r="G27" s="382" t="str">
        <f>IF(F27="","",F27/$F$43)</f>
        <v/>
      </c>
      <c r="H27" s="375" t="str">
        <f t="shared" si="3"/>
        <v>要確認31</v>
      </c>
      <c r="I27" s="369"/>
      <c r="J27" s="231"/>
      <c r="K27" s="263"/>
      <c r="L27" s="231"/>
      <c r="M27" s="231"/>
      <c r="N27" s="231"/>
      <c r="O27" s="231"/>
      <c r="P27" s="231"/>
      <c r="Q27" s="231"/>
      <c r="R27" s="450" t="str">
        <f>IF(AND(D27="",F27="")=TRUE,"要確認31",IF(D27="","要確認32",IF(F27="","要確認33",IF(D27=0,"要確認34",IF(F27=0,"要確認35",IF(OR(W27&gt;=50),"要確認36",IF(OR(W27&lt;=-50),"要確認37","OK")))))))</f>
        <v>要確認31</v>
      </c>
      <c r="W27" s="199" t="e">
        <f>(F27-D27)*100/D27</f>
        <v>#VALUE!</v>
      </c>
      <c r="Z27" s="199">
        <v>24</v>
      </c>
      <c r="AA27" s="709"/>
      <c r="AB27" s="1176" t="s">
        <v>1714</v>
      </c>
      <c r="AC27" s="1173" t="s">
        <v>1704</v>
      </c>
      <c r="AD27" s="1174">
        <v>55</v>
      </c>
      <c r="AE27" s="1174">
        <v>15</v>
      </c>
      <c r="AF27" s="1174" t="s">
        <v>1761</v>
      </c>
      <c r="AG27" s="1174" t="str">
        <f t="shared" si="2"/>
        <v>K34</v>
      </c>
      <c r="AH27" s="1174">
        <v>34</v>
      </c>
      <c r="AI27" s="1174">
        <v>11</v>
      </c>
      <c r="AJ27" s="857">
        <v>24</v>
      </c>
      <c r="AK27" s="857" t="s">
        <v>1784</v>
      </c>
    </row>
    <row r="28" spans="1:37" ht="33.75" customHeight="1">
      <c r="B28" s="1170" t="s">
        <v>670</v>
      </c>
      <c r="C28" s="1162"/>
      <c r="D28" s="378" t="str">
        <f>IF(工事費!J16="","",工事費!J16)</f>
        <v/>
      </c>
      <c r="E28" s="383"/>
      <c r="F28" s="384"/>
      <c r="G28" s="380"/>
      <c r="H28" s="375" t="str">
        <f t="shared" si="3"/>
        <v>要確認38</v>
      </c>
      <c r="I28" s="369"/>
      <c r="J28" s="231"/>
      <c r="K28" s="231"/>
      <c r="L28" s="231"/>
      <c r="M28" s="231"/>
      <c r="N28" s="231"/>
      <c r="O28" s="231"/>
      <c r="P28" s="231"/>
      <c r="Q28" s="231"/>
      <c r="R28" s="450" t="str">
        <f>IF(D28="","要確認38","OK")</f>
        <v>要確認38</v>
      </c>
      <c r="V28" s="231"/>
      <c r="Z28" s="199">
        <v>25</v>
      </c>
      <c r="AA28" s="709"/>
      <c r="AB28" s="1176" t="s">
        <v>1715</v>
      </c>
      <c r="AC28" s="1173" t="s">
        <v>1704</v>
      </c>
      <c r="AD28" s="1174">
        <v>56</v>
      </c>
      <c r="AE28" s="1174">
        <v>16</v>
      </c>
      <c r="AF28" s="1174" t="s">
        <v>1761</v>
      </c>
      <c r="AG28" s="1174" t="str">
        <f t="shared" si="2"/>
        <v>K35</v>
      </c>
      <c r="AH28" s="1174">
        <v>35</v>
      </c>
      <c r="AI28" s="1174">
        <v>11</v>
      </c>
      <c r="AJ28" s="857">
        <v>25</v>
      </c>
      <c r="AK28" s="857" t="s">
        <v>1785</v>
      </c>
    </row>
    <row r="29" spans="1:37" ht="33.75" customHeight="1">
      <c r="B29" s="225" t="s">
        <v>349</v>
      </c>
      <c r="C29" s="202"/>
      <c r="D29" s="378" t="str">
        <f>IF(工事費!J17="","",工事費!J17)</f>
        <v/>
      </c>
      <c r="E29" s="382" t="str">
        <f t="shared" ref="E29:E42" si="4">IF(D29="","",D29/$D$43)</f>
        <v/>
      </c>
      <c r="F29" s="384"/>
      <c r="G29" s="380"/>
      <c r="H29" s="375" t="str">
        <f t="shared" si="3"/>
        <v>要確認39</v>
      </c>
      <c r="I29" s="369"/>
      <c r="J29" s="231"/>
      <c r="K29" s="231"/>
      <c r="L29" s="231"/>
      <c r="O29" s="231"/>
      <c r="P29" s="231"/>
      <c r="Q29" s="231"/>
      <c r="R29" s="450" t="str">
        <f>IF(D29="","要確認39","OK")</f>
        <v>要確認39</v>
      </c>
      <c r="Z29" s="199">
        <v>26</v>
      </c>
      <c r="AA29" s="709"/>
      <c r="AB29" s="1176" t="s">
        <v>1716</v>
      </c>
      <c r="AC29" s="1173" t="s">
        <v>1704</v>
      </c>
      <c r="AD29" s="1174">
        <v>57</v>
      </c>
      <c r="AE29" s="1174">
        <v>15</v>
      </c>
      <c r="AF29" s="1174" t="s">
        <v>1761</v>
      </c>
      <c r="AG29" s="1174" t="str">
        <f t="shared" si="2"/>
        <v>K36</v>
      </c>
      <c r="AH29" s="1174">
        <v>36</v>
      </c>
      <c r="AI29" s="1174">
        <v>11</v>
      </c>
      <c r="AJ29" s="857">
        <v>26</v>
      </c>
      <c r="AK29" s="857" t="s">
        <v>1786</v>
      </c>
    </row>
    <row r="30" spans="1:37" ht="36.75" customHeight="1">
      <c r="B30" s="1972" t="s">
        <v>385</v>
      </c>
      <c r="C30" s="1993"/>
      <c r="D30" s="378">
        <f>工事費!J18</f>
        <v>0</v>
      </c>
      <c r="E30" s="382" t="str">
        <f>IF(D43=0,"",D30/$D$43)</f>
        <v/>
      </c>
      <c r="F30" s="378">
        <f>元請調査票データ!H21+元請調査票データ!H22+元請調査票データ!H25</f>
        <v>0</v>
      </c>
      <c r="G30" s="382" t="e">
        <f>IF(F30="","",F30/$F$43)</f>
        <v>#DIV/0!</v>
      </c>
      <c r="H30" s="452"/>
      <c r="I30" s="369"/>
      <c r="J30" s="231"/>
      <c r="K30" s="231"/>
      <c r="M30" s="504"/>
      <c r="N30" s="504"/>
      <c r="O30" s="231"/>
      <c r="P30" s="231"/>
      <c r="Q30" s="231"/>
      <c r="Z30" s="199">
        <v>27</v>
      </c>
      <c r="AA30" s="709"/>
      <c r="AB30" s="1176" t="s">
        <v>1717</v>
      </c>
      <c r="AC30" s="1173" t="s">
        <v>1704</v>
      </c>
      <c r="AD30" s="1174">
        <v>58</v>
      </c>
      <c r="AE30" s="1174">
        <v>15</v>
      </c>
      <c r="AF30" s="1174" t="s">
        <v>1761</v>
      </c>
      <c r="AG30" s="1174" t="str">
        <f t="shared" si="2"/>
        <v>K37</v>
      </c>
      <c r="AH30" s="1174">
        <v>37</v>
      </c>
      <c r="AI30" s="1174">
        <v>11</v>
      </c>
    </row>
    <row r="31" spans="1:37" ht="33.75" customHeight="1">
      <c r="B31" s="225" t="s">
        <v>897</v>
      </c>
      <c r="C31" s="202"/>
      <c r="D31" s="378">
        <f>工事費!J26</f>
        <v>0</v>
      </c>
      <c r="E31" s="382" t="str">
        <f>IF(D43=0,"",D31/$D$43)</f>
        <v/>
      </c>
      <c r="F31" s="378" t="str">
        <f>IF(元請調査票データ!H29="","",元請調査票データ!H29)</f>
        <v/>
      </c>
      <c r="G31" s="382" t="str">
        <f>IF(F31="","",F31/$F$43)</f>
        <v/>
      </c>
      <c r="H31" s="452"/>
      <c r="I31" s="369"/>
      <c r="J31" s="231"/>
      <c r="K31" s="231"/>
      <c r="L31" s="231"/>
      <c r="M31" s="231"/>
      <c r="N31" s="231"/>
      <c r="O31" s="231"/>
      <c r="P31" s="231"/>
      <c r="Q31" s="231"/>
      <c r="V31" s="231"/>
      <c r="Z31" s="199">
        <v>28</v>
      </c>
      <c r="AA31" s="709"/>
      <c r="AB31" s="1176" t="s">
        <v>1718</v>
      </c>
      <c r="AC31" s="1173" t="s">
        <v>1704</v>
      </c>
      <c r="AD31" s="1174">
        <v>59</v>
      </c>
      <c r="AE31" s="1174">
        <v>15</v>
      </c>
      <c r="AF31" s="1174" t="s">
        <v>1761</v>
      </c>
      <c r="AG31" s="1174" t="str">
        <f t="shared" si="2"/>
        <v>K38</v>
      </c>
      <c r="AH31" s="1174">
        <v>38</v>
      </c>
      <c r="AI31" s="1174">
        <v>11</v>
      </c>
    </row>
    <row r="32" spans="1:37" ht="33.75" customHeight="1">
      <c r="B32" s="225" t="s">
        <v>124</v>
      </c>
      <c r="C32" s="202"/>
      <c r="D32" s="378">
        <f>工事費!J27</f>
        <v>0</v>
      </c>
      <c r="E32" s="382" t="str">
        <f>IF(D43=0,"",D32/$D$43)</f>
        <v/>
      </c>
      <c r="F32" s="1352">
        <f>SUM(F33:F35)</f>
        <v>0</v>
      </c>
      <c r="G32" s="382" t="str">
        <f>IF(F32=0,"",F32/$F$43)</f>
        <v/>
      </c>
      <c r="H32" s="375" t="str">
        <f>IF(I32="",R32,IF(AND(R32&lt;&gt;"OK",I32&lt;&gt;""),"要確認→OK",R32))</f>
        <v>要確認43</v>
      </c>
      <c r="I32" s="369"/>
      <c r="J32" s="231"/>
      <c r="K32" s="231"/>
      <c r="L32" s="231"/>
      <c r="M32" s="231"/>
      <c r="N32" s="231"/>
      <c r="O32" s="231"/>
      <c r="P32" s="231"/>
      <c r="Q32" s="231"/>
      <c r="R32" s="450" t="str">
        <f>IF(AND(D32="",F32=0)=TRUE,"要確認40",IF(D32="","要確認41",IF(F32="","要確認42",IF(D32=0,"要確認43",IF(F32=0,"要確認44",IF(W32&gt;=50,"要確認45",IF(W32&lt;=-50,"要確認46","OK")))))))</f>
        <v>要確認43</v>
      </c>
      <c r="V32" s="231"/>
      <c r="W32" s="199" t="e">
        <f>(F32-D32)*100/D32</f>
        <v>#DIV/0!</v>
      </c>
      <c r="Z32" s="199">
        <v>29</v>
      </c>
      <c r="AA32" s="709"/>
      <c r="AB32" s="1176" t="s">
        <v>1719</v>
      </c>
      <c r="AC32" s="1173" t="s">
        <v>1704</v>
      </c>
      <c r="AD32" s="1174">
        <v>60</v>
      </c>
      <c r="AE32" s="1174">
        <v>16</v>
      </c>
      <c r="AF32" s="1174" t="s">
        <v>1761</v>
      </c>
      <c r="AG32" s="1174" t="str">
        <f t="shared" si="2"/>
        <v>K39</v>
      </c>
      <c r="AH32" s="1174">
        <v>39</v>
      </c>
      <c r="AI32" s="1174">
        <v>11</v>
      </c>
    </row>
    <row r="33" spans="1:35" ht="33.75" customHeight="1">
      <c r="B33" s="225" t="s">
        <v>125</v>
      </c>
      <c r="C33" s="202"/>
      <c r="D33" s="378">
        <f>工事費!J28</f>
        <v>0</v>
      </c>
      <c r="E33" s="382" t="str">
        <f>IF(D43=0,"",D33/$D$43)</f>
        <v/>
      </c>
      <c r="F33" s="1352">
        <f>IF(AND(P47=0,P51=""),"",P47)</f>
        <v>0</v>
      </c>
      <c r="G33" s="382" t="e">
        <f>IF(F33="","",F33/$F$43)</f>
        <v>#DIV/0!</v>
      </c>
      <c r="H33" s="375" t="str">
        <f>IF(I33="",R33,IF(AND(R33&lt;&gt;"OK",I33&lt;&gt;""),"要確認→OK",R33))</f>
        <v>OK</v>
      </c>
      <c r="I33" s="369"/>
      <c r="J33" s="231"/>
      <c r="L33" s="231"/>
      <c r="M33" s="231"/>
      <c r="N33" s="231"/>
      <c r="O33" s="231"/>
      <c r="P33" s="231"/>
      <c r="Q33" s="231"/>
      <c r="R33" s="450" t="str">
        <f>IF(AND(D33="",F33="")=TRUE,"要確認47",IF(D33="","要確認48",IF(F33="","要確認49",IF(AND(D33=0,F33&gt;0),"要確認50",IF(AND(D33=0,F33=0),"OK",IF(W33&gt;=50,"要確認50",IF(W33&lt;=-50,"要確認51","OK")))))))</f>
        <v>OK</v>
      </c>
      <c r="V33" s="231"/>
      <c r="W33" s="199" t="e">
        <f>(F33-D33)*100/D33</f>
        <v>#DIV/0!</v>
      </c>
      <c r="Z33" s="199">
        <v>30</v>
      </c>
      <c r="AA33" s="709"/>
      <c r="AB33" s="1176" t="s">
        <v>1720</v>
      </c>
      <c r="AC33" s="1173" t="s">
        <v>1704</v>
      </c>
      <c r="AD33" s="1174">
        <v>61</v>
      </c>
      <c r="AE33" s="1174">
        <v>15</v>
      </c>
      <c r="AF33" s="1174" t="s">
        <v>1761</v>
      </c>
      <c r="AG33" s="1174" t="str">
        <f t="shared" si="2"/>
        <v>K40</v>
      </c>
      <c r="AH33" s="1174">
        <v>40</v>
      </c>
      <c r="AI33" s="1174">
        <v>11</v>
      </c>
    </row>
    <row r="34" spans="1:35" ht="33.75" customHeight="1">
      <c r="B34" s="225" t="s">
        <v>351</v>
      </c>
      <c r="C34" s="202"/>
      <c r="D34" s="378" t="str">
        <f>IF(工事費!J45="","",工事費!J45)</f>
        <v/>
      </c>
      <c r="E34" s="382" t="str">
        <f t="shared" si="4"/>
        <v/>
      </c>
      <c r="F34" s="381">
        <f>IF(AND(O47=0,O65=""),"",O47)</f>
        <v>0</v>
      </c>
      <c r="G34" s="382" t="e">
        <f t="shared" ref="G34:G42" si="5">IF(F34="","",F34/$F$43)</f>
        <v>#DIV/0!</v>
      </c>
      <c r="H34" s="375" t="str">
        <f>IF(I34="",R34,IF(AND(R34&lt;&gt;"OK",I34&lt;&gt;""),"要確認→OK",R34))</f>
        <v>要確認53</v>
      </c>
      <c r="I34" s="369"/>
      <c r="J34" s="231"/>
      <c r="L34" s="231"/>
      <c r="M34" s="231"/>
      <c r="N34" s="231"/>
      <c r="O34" s="231"/>
      <c r="P34" s="231"/>
      <c r="Q34" s="231"/>
      <c r="R34" s="450" t="str">
        <f>IF(AND(D34="",F34="")=TRUE,"要確認52",IF(D34="","要確認53",IF(F34="","要確認54",IF(D34=0,"要確認55",IF(F34=0,"要確認56",IF(W34&gt;=50,"要確認57",IF(W34&lt;=-50,"要確認58","OK")))))))</f>
        <v>要確認53</v>
      </c>
      <c r="W34" s="199" t="e">
        <f>(F34-D34)*100/D34</f>
        <v>#VALUE!</v>
      </c>
      <c r="Z34" s="199">
        <v>31</v>
      </c>
      <c r="AA34" s="708"/>
      <c r="AB34" s="1176" t="s">
        <v>382</v>
      </c>
      <c r="AC34" s="1173" t="s">
        <v>1704</v>
      </c>
      <c r="AD34" s="1174">
        <v>62</v>
      </c>
      <c r="AE34" s="1174">
        <v>16</v>
      </c>
      <c r="AF34" s="1174" t="s">
        <v>1761</v>
      </c>
      <c r="AG34" s="1174" t="str">
        <f t="shared" si="2"/>
        <v>K41</v>
      </c>
      <c r="AH34" s="1174">
        <v>41</v>
      </c>
      <c r="AI34" s="1174">
        <v>11</v>
      </c>
    </row>
    <row r="35" spans="1:35" ht="33.75" customHeight="1">
      <c r="B35" s="225" t="s">
        <v>1795</v>
      </c>
      <c r="C35" s="202"/>
      <c r="D35" s="378">
        <f>SUM(工事費!J46:J47)</f>
        <v>0</v>
      </c>
      <c r="E35" s="382" t="str">
        <f>IF(D35=0,"",D35/$D$43)</f>
        <v/>
      </c>
      <c r="F35" s="381">
        <f>IF(AND(O117=0,O118=""),"",O117+P117)</f>
        <v>0</v>
      </c>
      <c r="G35" s="382" t="e">
        <f t="shared" si="5"/>
        <v>#DIV/0!</v>
      </c>
      <c r="H35" s="375" t="str">
        <f>IF(I35="",R35,IF(AND(R35&lt;&gt;"OK",I35&lt;&gt;""),"要確認→OK",R35))</f>
        <v>OK</v>
      </c>
      <c r="I35" s="369"/>
      <c r="J35" s="231"/>
      <c r="K35" s="231"/>
      <c r="L35" s="231"/>
      <c r="M35" s="231"/>
      <c r="N35" s="231"/>
      <c r="O35" s="231"/>
      <c r="P35" s="231"/>
      <c r="Q35" s="231"/>
      <c r="R35" s="450" t="str">
        <f>IF(AND(D35="",F35="")=TRUE,"要確認59",IF(D35="","要確認60",IF(F35="","要確認61",IF(AND(D35=0,F35&gt;0),"要確認62",IF(AND(D35=0,F35=0),"OK",IF(W35&gt;=50,"要確認62",IF(W35&lt;=-50,"要確認63","OK")))))))</f>
        <v>OK</v>
      </c>
      <c r="W35" s="199" t="e">
        <f>(F35-D35)*100/D35</f>
        <v>#DIV/0!</v>
      </c>
      <c r="Z35" s="199">
        <v>32</v>
      </c>
      <c r="AA35" s="1175"/>
      <c r="AB35" s="199" t="s">
        <v>1721</v>
      </c>
      <c r="AC35" s="1173" t="s">
        <v>1704</v>
      </c>
      <c r="AD35" s="1174">
        <v>63</v>
      </c>
      <c r="AE35" s="1174">
        <v>15</v>
      </c>
      <c r="AF35" s="1174" t="s">
        <v>1761</v>
      </c>
      <c r="AG35" s="1174" t="str">
        <f t="shared" si="2"/>
        <v>K45</v>
      </c>
      <c r="AH35" s="1174">
        <v>45</v>
      </c>
      <c r="AI35" s="1174">
        <v>11</v>
      </c>
    </row>
    <row r="36" spans="1:35" ht="33.75" customHeight="1">
      <c r="B36" s="225" t="s">
        <v>126</v>
      </c>
      <c r="C36" s="202"/>
      <c r="D36" s="378" t="str">
        <f>IF(工事費!J51="","",工事費!J51)</f>
        <v/>
      </c>
      <c r="E36" s="382" t="str">
        <f t="shared" si="4"/>
        <v/>
      </c>
      <c r="F36" s="381">
        <f>元請調査票データ!H114</f>
        <v>0</v>
      </c>
      <c r="G36" s="382" t="e">
        <f t="shared" si="5"/>
        <v>#DIV/0!</v>
      </c>
      <c r="H36" s="375" t="str">
        <f>IF(I36="",R36,IF(AND(R36&lt;&gt;"OK",I36&lt;&gt;""),"要確認→OK",R36))</f>
        <v>要確認65</v>
      </c>
      <c r="I36" s="369"/>
      <c r="J36" s="231"/>
      <c r="K36" s="231"/>
      <c r="L36" s="231"/>
      <c r="M36" s="231"/>
      <c r="N36" s="231"/>
      <c r="O36" s="231"/>
      <c r="P36" s="231"/>
      <c r="Q36" s="231"/>
      <c r="R36" s="450" t="str">
        <f>IF(D36="",S36,IF(AND(S36="",T36=""),"OK",S36&amp;T36))</f>
        <v>要確認65</v>
      </c>
      <c r="S36" s="451" t="str">
        <f>IF(AND(D36="",F36="")=TRUE,"要確認64",IF(D36="","要確認65",IF(F36="","要確認66",IF(AND(D36&gt;0,F36=0)=TRUE,"要確認67",IF(AND(D36=0,F36&gt;0)=TRUE,"要確認68","")))))</f>
        <v>要確認65</v>
      </c>
      <c r="T36" s="451" t="str">
        <f>IF(D36=0,"",IF(F36=0,"",IF(100*(F36-D36)/D36&gt;=50,"要確認69",IF(100*(F36-D36)/D36&lt;=-50,"要確認70",""))))</f>
        <v/>
      </c>
      <c r="V36" s="231"/>
      <c r="Z36" s="199">
        <v>33</v>
      </c>
      <c r="AA36" s="708" t="s">
        <v>208</v>
      </c>
      <c r="AB36" s="205" t="s">
        <v>1722</v>
      </c>
      <c r="AC36" s="1173" t="s">
        <v>1704</v>
      </c>
      <c r="AD36" s="1179">
        <v>65</v>
      </c>
      <c r="AE36" s="1174">
        <v>15</v>
      </c>
      <c r="AF36" s="1174" t="s">
        <v>1761</v>
      </c>
      <c r="AG36" s="1174" t="str">
        <f t="shared" si="2"/>
        <v>K48</v>
      </c>
      <c r="AH36" s="1174">
        <v>48</v>
      </c>
      <c r="AI36" s="1174">
        <v>11</v>
      </c>
    </row>
    <row r="37" spans="1:35" ht="33.75" customHeight="1">
      <c r="B37" s="225" t="s">
        <v>738</v>
      </c>
      <c r="C37" s="205"/>
      <c r="D37" s="378" t="str">
        <f>IF(工事費!J52="","",工事費!J52)</f>
        <v/>
      </c>
      <c r="E37" s="382" t="str">
        <f t="shared" si="4"/>
        <v/>
      </c>
      <c r="F37" s="381">
        <f>元請調査票データ!H115</f>
        <v>0</v>
      </c>
      <c r="G37" s="382" t="e">
        <f t="shared" si="5"/>
        <v>#DIV/0!</v>
      </c>
      <c r="H37" s="375" t="str">
        <f t="shared" ref="H37:H43" si="6">IF(I37="",R37,IF(AND(R37&lt;&gt;"OK",I37&lt;&gt;""),"要確認→OK",R37))</f>
        <v>要確認72</v>
      </c>
      <c r="I37" s="369"/>
      <c r="J37" s="231"/>
      <c r="K37" s="231"/>
      <c r="L37" s="231"/>
      <c r="M37" s="231"/>
      <c r="N37" s="231"/>
      <c r="O37" s="231"/>
      <c r="P37" s="231"/>
      <c r="Q37" s="231"/>
      <c r="R37" s="450" t="str">
        <f>IF(AND(D37="",F37="")=TRUE,"要確認71",IF(D37="","要確認72",IF(F37="","要確認73",IF(D37=0,"要確認74",IF(F37=0,"要確認75",IF(W37&gt;=2,"要確認76",IF(W37&lt;=0.5,"要確認77","OK")))))))</f>
        <v>要確認72</v>
      </c>
      <c r="S37" s="231"/>
      <c r="T37" s="231"/>
      <c r="V37" s="231"/>
      <c r="W37" s="199" t="e">
        <f>F37/D37</f>
        <v>#VALUE!</v>
      </c>
      <c r="Z37" s="199">
        <v>34</v>
      </c>
      <c r="AA37" s="708"/>
      <c r="AB37" s="1177" t="s">
        <v>1723</v>
      </c>
      <c r="AC37" s="1173" t="s">
        <v>1704</v>
      </c>
      <c r="AD37" s="1174">
        <v>66</v>
      </c>
      <c r="AE37" s="1174">
        <v>15</v>
      </c>
      <c r="AF37" s="1174" t="s">
        <v>1761</v>
      </c>
      <c r="AG37" s="1174" t="str">
        <f t="shared" si="2"/>
        <v>K49</v>
      </c>
      <c r="AH37" s="1174">
        <v>49</v>
      </c>
      <c r="AI37" s="1174">
        <v>11</v>
      </c>
    </row>
    <row r="38" spans="1:35" ht="33.75" customHeight="1">
      <c r="B38" s="225" t="s">
        <v>46</v>
      </c>
      <c r="C38" s="202"/>
      <c r="D38" s="378">
        <f>工事費!J54</f>
        <v>0</v>
      </c>
      <c r="E38" s="382" t="str">
        <f>IF(D43=0,"",D38/$D$43)</f>
        <v/>
      </c>
      <c r="F38" s="381">
        <f>元請調査票データ!H157</f>
        <v>0</v>
      </c>
      <c r="G38" s="382" t="e">
        <f t="shared" si="5"/>
        <v>#DIV/0!</v>
      </c>
      <c r="H38" s="375" t="str">
        <f t="shared" si="6"/>
        <v>OK</v>
      </c>
      <c r="I38" s="369"/>
      <c r="J38" s="231"/>
      <c r="K38" s="231"/>
      <c r="L38" s="231"/>
      <c r="M38" s="231"/>
      <c r="N38" s="231"/>
      <c r="O38" s="231"/>
      <c r="P38" s="231"/>
      <c r="Q38" s="231"/>
      <c r="R38" s="450" t="str">
        <f>IF(D38="",S38,IF(AND(S38="",T38=""),"OK",S38&amp;T38))</f>
        <v>OK</v>
      </c>
      <c r="S38" s="451" t="str">
        <f>IF(AND(D38="",F38="")=TRUE,"要確認78",IF(D38="","要確認79",IF(F38="","要確認80",IF(AND(D38&gt;0,F38=0)=TRUE,"要確認82",IF(AND(D38=0,F38&gt;0)=TRUE,"要確認81","")))))</f>
        <v/>
      </c>
      <c r="T38" s="451" t="str">
        <f>IF(D38=0,"",IF(F38=0,"",IF(100*(F38-D38)/D38&gt;=50,"要確認81",IF(100*(F38-D38)/D38&lt;=-50,"要確認82",""))))</f>
        <v/>
      </c>
      <c r="Z38" s="199">
        <v>35</v>
      </c>
      <c r="AA38" s="708"/>
      <c r="AB38" s="1176" t="s">
        <v>1724</v>
      </c>
      <c r="AC38" s="1173" t="s">
        <v>1704</v>
      </c>
      <c r="AD38" s="1180">
        <v>67</v>
      </c>
      <c r="AE38" s="1174">
        <v>15</v>
      </c>
      <c r="AF38" s="1174" t="s">
        <v>1761</v>
      </c>
      <c r="AG38" s="1174" t="str">
        <f t="shared" si="2"/>
        <v>K50</v>
      </c>
      <c r="AH38" s="1174">
        <v>50</v>
      </c>
      <c r="AI38" s="1174">
        <v>11</v>
      </c>
    </row>
    <row r="39" spans="1:35" ht="33.75" hidden="1" customHeight="1">
      <c r="B39" s="2001" t="s">
        <v>880</v>
      </c>
      <c r="C39" s="2002"/>
      <c r="D39" s="823" t="str">
        <f>IF(工事費!J57="","",工事費!J57)</f>
        <v/>
      </c>
      <c r="E39" s="824"/>
      <c r="F39" s="825"/>
      <c r="G39" s="826"/>
      <c r="H39" s="827" t="str">
        <f t="shared" si="6"/>
        <v>要確認110</v>
      </c>
      <c r="I39" s="828"/>
      <c r="J39" s="231"/>
      <c r="K39" s="231"/>
      <c r="L39" s="231"/>
      <c r="M39" s="231"/>
      <c r="N39" s="231"/>
      <c r="O39" s="231"/>
      <c r="P39" s="231"/>
      <c r="Q39" s="231"/>
      <c r="R39" s="450" t="str">
        <f>IF(D39="","要確認110","OK")</f>
        <v>要確認110</v>
      </c>
      <c r="S39" s="451"/>
      <c r="T39" s="451"/>
      <c r="Z39" s="199">
        <v>36</v>
      </c>
      <c r="AA39" s="1178"/>
      <c r="AB39" s="1178" t="s">
        <v>398</v>
      </c>
      <c r="AC39" s="1173" t="s">
        <v>1704</v>
      </c>
      <c r="AD39" s="1180">
        <v>68</v>
      </c>
      <c r="AE39" s="1174">
        <v>15</v>
      </c>
      <c r="AF39" s="1174" t="s">
        <v>1761</v>
      </c>
      <c r="AG39" s="1174" t="str">
        <f t="shared" ref="AG39:AG70" si="7">VLOOKUP($AI39,$AJ$4:$AK$29,2,FALSE) &amp; AH39</f>
        <v>K51</v>
      </c>
      <c r="AH39" s="1174">
        <v>51</v>
      </c>
      <c r="AI39" s="1174">
        <v>11</v>
      </c>
    </row>
    <row r="40" spans="1:35" ht="33.75" customHeight="1">
      <c r="B40" s="206" t="s">
        <v>399</v>
      </c>
      <c r="C40" s="205"/>
      <c r="D40" s="378" t="str">
        <f>IF(工事費!J60="","",工事費!J60)</f>
        <v/>
      </c>
      <c r="E40" s="382" t="str">
        <f t="shared" si="4"/>
        <v/>
      </c>
      <c r="F40" s="378">
        <f>元請調査票データ!H161</f>
        <v>0</v>
      </c>
      <c r="G40" s="382" t="e">
        <f t="shared" si="5"/>
        <v>#DIV/0!</v>
      </c>
      <c r="H40" s="375" t="str">
        <f t="shared" si="6"/>
        <v>要確認84</v>
      </c>
      <c r="I40" s="369"/>
      <c r="J40" s="231"/>
      <c r="K40" s="231"/>
      <c r="L40" s="231"/>
      <c r="M40" s="231"/>
      <c r="N40" s="231"/>
      <c r="O40" s="231"/>
      <c r="P40" s="231"/>
      <c r="Q40" s="231"/>
      <c r="R40" s="516" t="str">
        <f>IF(AND(D40="",F40="")=TRUE,"要確認83",IF(D40="","要確認84",IF(F40="","要確認86",IF(D40=0,"要確認85",IF(W40&gt;=50,"要確認87",IF(W40&lt;=-50,"要確認88","OK"))))))</f>
        <v>要確認84</v>
      </c>
      <c r="S40" s="231"/>
      <c r="T40" s="231"/>
      <c r="W40" s="199" t="e">
        <f>F40/F43*100</f>
        <v>#DIV/0!</v>
      </c>
      <c r="Z40" s="199">
        <v>37</v>
      </c>
      <c r="AA40" s="1181" t="s">
        <v>1725</v>
      </c>
      <c r="AB40" s="1181" t="s">
        <v>1726</v>
      </c>
      <c r="AC40" s="1173" t="s">
        <v>1704</v>
      </c>
      <c r="AD40" s="1183">
        <v>70</v>
      </c>
      <c r="AE40" s="1174">
        <v>16</v>
      </c>
      <c r="AF40" s="1174" t="s">
        <v>1761</v>
      </c>
      <c r="AG40" s="1174" t="str">
        <f t="shared" si="7"/>
        <v>K57</v>
      </c>
      <c r="AH40" s="1174">
        <v>57</v>
      </c>
      <c r="AI40" s="1174">
        <v>11</v>
      </c>
    </row>
    <row r="41" spans="1:35" ht="39.75" customHeight="1">
      <c r="B41" s="1972" t="s">
        <v>390</v>
      </c>
      <c r="C41" s="1973"/>
      <c r="D41" s="906" t="str">
        <f>IF(工事費!J61="","",工事費!J61)</f>
        <v/>
      </c>
      <c r="E41" s="382" t="str">
        <f t="shared" si="4"/>
        <v/>
      </c>
      <c r="F41" s="906">
        <f>元請調査票データ!H162</f>
        <v>0</v>
      </c>
      <c r="G41" s="382" t="e">
        <f t="shared" si="5"/>
        <v>#DIV/0!</v>
      </c>
      <c r="H41" s="375" t="str">
        <f>IF(I41="",R41,IF(AND(AND(R41&lt;&gt;"要確認92",R41&lt;&gt;"要確認93",R41&lt;&gt;"OK"),I41&lt;&gt;""),"要確認→OK",R41))</f>
        <v>要確認90</v>
      </c>
      <c r="I41" s="369"/>
      <c r="J41" s="905" t="str">
        <f>IF(OR(H41="要確認92",H41="要確認93"),"要確認一覧表に従って必ず修正してください","")</f>
        <v/>
      </c>
      <c r="K41" s="231"/>
      <c r="L41" s="231"/>
      <c r="M41" s="231"/>
      <c r="N41" s="231"/>
      <c r="O41" s="231"/>
      <c r="P41" s="231"/>
      <c r="Q41" s="231"/>
      <c r="R41" s="450" t="str">
        <f>IF(D41="",S41,IF(AND(S41="",T41=""),"OK",S41&amp;T41))</f>
        <v>要確認90</v>
      </c>
      <c r="S41" s="451" t="str">
        <f>IF(AND(D41="",F41="")=TRUE,"要確認89",IF(D41="","要確認90",IF(F41="","要確認91",IF(AND(D41&gt;0,F41=0)=TRUE,"要確認92",IF(AND(D41=0,F41&gt;0)=TRUE,"要確認93","")))))</f>
        <v>要確認90</v>
      </c>
      <c r="T41" s="451" t="str">
        <f>IF(D41=0,"",IF(F41=0,"",IF(100*(F41-D41)/D41&gt;=20,"要確認94",IF(100*(F41-D41)/D41&lt;=-20,"要確認95",""))))</f>
        <v/>
      </c>
      <c r="U41" s="1972" t="s">
        <v>390</v>
      </c>
      <c r="V41" s="1973"/>
      <c r="Z41" s="199">
        <v>38</v>
      </c>
      <c r="AA41" s="560"/>
      <c r="AB41" s="1182" t="s">
        <v>1723</v>
      </c>
      <c r="AC41" s="1173" t="s">
        <v>1704</v>
      </c>
      <c r="AD41" s="1185">
        <v>71</v>
      </c>
      <c r="AE41" s="1174">
        <v>16</v>
      </c>
      <c r="AF41" s="1174" t="s">
        <v>1761</v>
      </c>
      <c r="AG41" s="1174" t="str">
        <f t="shared" si="7"/>
        <v>K58</v>
      </c>
      <c r="AH41" s="1174">
        <v>58</v>
      </c>
      <c r="AI41" s="1174">
        <v>11</v>
      </c>
    </row>
    <row r="42" spans="1:35" ht="33.75" customHeight="1">
      <c r="B42" s="1972" t="s">
        <v>391</v>
      </c>
      <c r="C42" s="1973"/>
      <c r="D42" s="906" t="str">
        <f>IF(工事費!J62="","",工事費!J62)</f>
        <v/>
      </c>
      <c r="E42" s="382" t="str">
        <f t="shared" si="4"/>
        <v/>
      </c>
      <c r="F42" s="906">
        <f>元請調査票データ!H163</f>
        <v>0</v>
      </c>
      <c r="G42" s="382" t="e">
        <f t="shared" si="5"/>
        <v>#DIV/0!</v>
      </c>
      <c r="H42" s="375" t="str">
        <f>IF(I42="",R42,IF(AND(AND(R42&lt;&gt;"要確認99",R42&lt;&gt;"要確認100",R42&lt;&gt;"OK"),I42&lt;&gt;""),"要確認→OK",R42))</f>
        <v>要確認97</v>
      </c>
      <c r="I42" s="369"/>
      <c r="J42" s="905" t="str">
        <f>IF(OR(H42="要確認99",H42="要確認100"),"要確認一覧表に従って必ず修正してください","")</f>
        <v/>
      </c>
      <c r="K42" s="231"/>
      <c r="L42" s="231"/>
      <c r="M42" s="231"/>
      <c r="N42" s="231"/>
      <c r="O42" s="231"/>
      <c r="P42" s="231"/>
      <c r="Q42" s="231"/>
      <c r="R42" s="450" t="str">
        <f>IF(D42="",S42,IF(AND(S42="",T42=""),"OK",S42&amp;T42))</f>
        <v>要確認97</v>
      </c>
      <c r="S42" s="451" t="str">
        <f>IF(AND(D42="",F42="")=TRUE,"要確認96",IF(D42="","要確認97",IF(F42="","要確認98",IF(AND(D42&gt;0,F42=0)=TRUE,"要確認99",IF(AND(D42=0,F42&gt;0)=TRUE,"要確認100","")))))</f>
        <v>要確認97</v>
      </c>
      <c r="T42" s="451" t="str">
        <f>IF(D42=0,"",IF(F42=0,"",IF(100*(F42-D42)/D42&gt;=20,"要確認101",IF(100*(F42-D42)/D42&lt;=-20,"要確認102",""))))</f>
        <v/>
      </c>
      <c r="Z42" s="199">
        <v>39</v>
      </c>
      <c r="AA42" s="1178"/>
      <c r="AB42" s="1178" t="s">
        <v>398</v>
      </c>
      <c r="AC42" s="1173" t="s">
        <v>1704</v>
      </c>
      <c r="AD42" s="1184">
        <v>72</v>
      </c>
      <c r="AE42" s="1174">
        <v>16</v>
      </c>
      <c r="AF42" s="1174" t="s">
        <v>1761</v>
      </c>
      <c r="AG42" s="1174" t="str">
        <f t="shared" si="7"/>
        <v>K59</v>
      </c>
      <c r="AH42" s="1174">
        <v>59</v>
      </c>
      <c r="AI42" s="1174">
        <v>11</v>
      </c>
    </row>
    <row r="43" spans="1:35" s="154" customFormat="1" ht="33.75" customHeight="1">
      <c r="A43" s="234"/>
      <c r="B43" s="514" t="s">
        <v>287</v>
      </c>
      <c r="C43" s="852" t="e">
        <f>S43</f>
        <v>#DIV/0!</v>
      </c>
      <c r="D43" s="378">
        <f>工事費!J63</f>
        <v>0</v>
      </c>
      <c r="E43" s="382" t="str">
        <f>IF(D43=0,"",D43/$D$43)</f>
        <v/>
      </c>
      <c r="F43" s="378">
        <f>元請調査票データ!H164</f>
        <v>0</v>
      </c>
      <c r="G43" s="382" t="e">
        <f>IF(F43="","",F43/$F$43)</f>
        <v>#DIV/0!</v>
      </c>
      <c r="H43" s="375" t="str">
        <f t="shared" si="6"/>
        <v>要確認103</v>
      </c>
      <c r="I43" s="369"/>
      <c r="J43" s="231"/>
      <c r="K43" s="231"/>
      <c r="L43" s="231"/>
      <c r="M43" s="231"/>
      <c r="N43" s="231"/>
      <c r="O43" s="231"/>
      <c r="P43" s="231"/>
      <c r="Q43" s="231"/>
      <c r="R43" s="517" t="str">
        <f>IF(AND(D43=0,F43=0)=TRUE,"要確認103",IF(D43=0,"要確認104",IF(F43=0,"要確認105",IF(D43&lt;F43,"要確認106",IF(S43&lt;90,"要確認109","OK")))))</f>
        <v>要確認103</v>
      </c>
      <c r="S43" s="516" t="e">
        <f>IF(F43="","",ROUND(F43/D43,3)*100)</f>
        <v>#DIV/0!</v>
      </c>
      <c r="T43" s="199"/>
      <c r="U43" s="199"/>
      <c r="V43" s="231"/>
      <c r="W43" s="262"/>
      <c r="Z43" s="199">
        <v>40</v>
      </c>
      <c r="AA43" s="542" t="s">
        <v>704</v>
      </c>
      <c r="AB43" s="1181" t="s">
        <v>1727</v>
      </c>
      <c r="AC43" s="1173" t="s">
        <v>1704</v>
      </c>
      <c r="AD43" s="1186">
        <v>74</v>
      </c>
      <c r="AE43" s="1183">
        <v>15</v>
      </c>
      <c r="AF43" s="1174" t="s">
        <v>1761</v>
      </c>
      <c r="AG43" s="1174" t="str">
        <f t="shared" si="7"/>
        <v>K67</v>
      </c>
      <c r="AH43" s="1185">
        <v>67</v>
      </c>
      <c r="AI43" s="1174">
        <v>11</v>
      </c>
    </row>
    <row r="44" spans="1:35" s="154" customFormat="1" ht="32.25" customHeight="1">
      <c r="A44" s="293" t="s">
        <v>0</v>
      </c>
      <c r="B44" s="198"/>
      <c r="C44" s="291"/>
      <c r="D44" s="291"/>
      <c r="E44" s="291"/>
      <c r="F44" s="199"/>
      <c r="G44" s="199"/>
      <c r="H44" s="199"/>
      <c r="I44" s="200"/>
      <c r="J44" s="200"/>
      <c r="K44" s="200"/>
      <c r="L44" s="200"/>
      <c r="M44" s="200"/>
      <c r="N44" s="200"/>
      <c r="O44" s="200"/>
      <c r="P44" s="200"/>
      <c r="Q44" s="200"/>
      <c r="R44" s="262"/>
      <c r="S44" s="262"/>
      <c r="T44" s="262"/>
      <c r="U44" s="199"/>
      <c r="V44" s="231"/>
      <c r="W44" s="262"/>
      <c r="Z44" s="199">
        <v>41</v>
      </c>
      <c r="AA44" s="508"/>
      <c r="AB44" s="1182" t="s">
        <v>709</v>
      </c>
      <c r="AC44" s="1173" t="s">
        <v>1704</v>
      </c>
      <c r="AD44" s="1187">
        <v>75</v>
      </c>
      <c r="AE44" s="1185">
        <v>16</v>
      </c>
      <c r="AF44" s="1174" t="s">
        <v>1761</v>
      </c>
      <c r="AG44" s="1174" t="str">
        <f t="shared" si="7"/>
        <v>K73</v>
      </c>
      <c r="AH44" s="1185">
        <v>73</v>
      </c>
      <c r="AI44" s="1174">
        <v>11</v>
      </c>
    </row>
    <row r="45" spans="1:35" s="154" customFormat="1" ht="30" customHeight="1">
      <c r="A45" s="158"/>
      <c r="B45" s="226" t="s">
        <v>754</v>
      </c>
      <c r="C45" s="227"/>
      <c r="D45" s="1665">
        <f>元請調査票データ!H168</f>
        <v>0</v>
      </c>
      <c r="E45" s="296" t="s">
        <v>177</v>
      </c>
      <c r="F45" s="294" t="str">
        <f>IF(D45=0,"","元請ファイルに未入力箇所があります。元請ファイルを修正してください。")</f>
        <v/>
      </c>
      <c r="G45" s="295"/>
      <c r="H45" s="295"/>
      <c r="I45" s="227"/>
      <c r="R45" s="262"/>
      <c r="S45" s="262"/>
      <c r="T45" s="262"/>
      <c r="U45" s="299"/>
      <c r="V45" s="231"/>
      <c r="W45" s="262"/>
      <c r="Z45" s="199">
        <v>42</v>
      </c>
      <c r="AA45" s="208" t="s">
        <v>1728</v>
      </c>
      <c r="AB45" s="227"/>
      <c r="AC45" s="1173" t="s">
        <v>1704</v>
      </c>
      <c r="AD45" s="1185">
        <v>76</v>
      </c>
      <c r="AE45" s="1185">
        <v>16</v>
      </c>
      <c r="AF45" s="1174" t="s">
        <v>1761</v>
      </c>
      <c r="AG45" s="1174" t="str">
        <f t="shared" si="7"/>
        <v>K74</v>
      </c>
      <c r="AH45" s="1185">
        <v>74</v>
      </c>
      <c r="AI45" s="1174">
        <v>11</v>
      </c>
    </row>
    <row r="46" spans="1:35" s="154" customFormat="1" ht="30" customHeight="1">
      <c r="A46" s="158"/>
      <c r="B46" s="226" t="s">
        <v>354</v>
      </c>
      <c r="C46" s="227"/>
      <c r="D46" s="1665">
        <f>元請調査票データ!H169</f>
        <v>0</v>
      </c>
      <c r="E46" s="296" t="s">
        <v>177</v>
      </c>
      <c r="F46" s="294" t="str">
        <f>IF(D46=0,"","元請ファイルにエラー箇所があります。")</f>
        <v/>
      </c>
      <c r="G46" s="209"/>
      <c r="H46" s="209"/>
      <c r="I46" s="227"/>
      <c r="K46" s="360" t="s">
        <v>108</v>
      </c>
      <c r="L46" s="209"/>
      <c r="M46" s="209"/>
      <c r="N46" s="227"/>
      <c r="O46" s="342" t="s">
        <v>236</v>
      </c>
      <c r="P46" s="343" t="s">
        <v>912</v>
      </c>
      <c r="R46" s="262"/>
      <c r="S46" s="262"/>
      <c r="T46" s="262"/>
      <c r="U46" s="299"/>
      <c r="V46" s="231"/>
      <c r="W46" s="262"/>
      <c r="Z46" s="199">
        <v>43</v>
      </c>
      <c r="AA46" s="542" t="s">
        <v>1729</v>
      </c>
      <c r="AB46" s="1182" t="s">
        <v>1730</v>
      </c>
      <c r="AC46" s="1173" t="s">
        <v>1704</v>
      </c>
      <c r="AD46" s="1185">
        <v>79</v>
      </c>
      <c r="AE46" s="1185">
        <v>15</v>
      </c>
      <c r="AF46" s="1174" t="s">
        <v>1761</v>
      </c>
      <c r="AG46" s="1174" t="str">
        <f t="shared" si="7"/>
        <v>K83</v>
      </c>
      <c r="AH46" s="1185">
        <v>83</v>
      </c>
      <c r="AI46" s="1174">
        <v>11</v>
      </c>
    </row>
    <row r="47" spans="1:35" s="154" customFormat="1" ht="30" customHeight="1">
      <c r="A47" s="277" t="s">
        <v>876</v>
      </c>
      <c r="C47" s="261"/>
      <c r="D47" s="261"/>
      <c r="E47" s="261"/>
      <c r="F47" s="261"/>
      <c r="G47" s="261"/>
      <c r="H47" s="261"/>
      <c r="K47" s="246" t="s">
        <v>1794</v>
      </c>
      <c r="L47" s="313"/>
      <c r="M47" s="313"/>
      <c r="N47" s="227"/>
      <c r="O47" s="351">
        <f>SUM(O48,O75,O78,O79,O98,O101,O108,O123,O124,O126)</f>
        <v>0</v>
      </c>
      <c r="P47" s="352">
        <f>SUM(P48,P75,P78,P79,P98,P101,P108,P123,P124,P126)</f>
        <v>0</v>
      </c>
      <c r="R47" s="262"/>
      <c r="S47" s="262"/>
      <c r="T47" s="262"/>
      <c r="U47" s="199"/>
      <c r="V47" s="231"/>
      <c r="W47" s="262"/>
      <c r="Z47" s="199">
        <v>44</v>
      </c>
      <c r="AA47" s="707"/>
      <c r="AB47" s="1182" t="s">
        <v>1731</v>
      </c>
      <c r="AC47" s="1173" t="s">
        <v>1704</v>
      </c>
      <c r="AD47" s="1185">
        <v>80</v>
      </c>
      <c r="AE47" s="1185">
        <v>15</v>
      </c>
      <c r="AF47" s="1174" t="s">
        <v>1761</v>
      </c>
      <c r="AG47" s="1174" t="str">
        <f t="shared" si="7"/>
        <v>K84</v>
      </c>
      <c r="AH47" s="1185">
        <v>84</v>
      </c>
      <c r="AI47" s="1174">
        <v>11</v>
      </c>
    </row>
    <row r="48" spans="1:35" s="154" customFormat="1" ht="31.5" customHeight="1">
      <c r="A48" s="158"/>
      <c r="B48" s="1980" t="s">
        <v>578</v>
      </c>
      <c r="C48" s="1981"/>
      <c r="D48" s="1981"/>
      <c r="E48" s="1981"/>
      <c r="F48" s="1981"/>
      <c r="G48" s="1981"/>
      <c r="H48" s="1981"/>
      <c r="I48" s="1981"/>
      <c r="J48" s="346"/>
      <c r="K48" s="314" t="s">
        <v>878</v>
      </c>
      <c r="L48" s="15"/>
      <c r="M48" s="313"/>
      <c r="N48" s="227"/>
      <c r="O48" s="351">
        <f>SUM(O49,O64,O69)</f>
        <v>0</v>
      </c>
      <c r="P48" s="352">
        <f>SUM(P49,P64,P69)</f>
        <v>0</v>
      </c>
      <c r="Q48" s="350"/>
      <c r="R48" s="262"/>
      <c r="S48" s="199"/>
      <c r="T48" s="199"/>
      <c r="U48" s="199"/>
      <c r="V48" s="199"/>
      <c r="W48" s="262"/>
      <c r="Z48" s="199">
        <v>45</v>
      </c>
      <c r="AA48" s="709"/>
      <c r="AB48" s="1176" t="s">
        <v>1732</v>
      </c>
      <c r="AC48" s="1173" t="s">
        <v>1704</v>
      </c>
      <c r="AD48" s="1185">
        <v>81</v>
      </c>
      <c r="AE48" s="1185">
        <v>15</v>
      </c>
      <c r="AF48" s="1174" t="s">
        <v>1761</v>
      </c>
      <c r="AG48" s="1174" t="str">
        <f t="shared" si="7"/>
        <v>K85</v>
      </c>
      <c r="AH48" s="1185">
        <v>85</v>
      </c>
      <c r="AI48" s="1174">
        <v>11</v>
      </c>
    </row>
    <row r="49" spans="1:35" s="154" customFormat="1" ht="30.95" customHeight="1">
      <c r="A49" s="158"/>
      <c r="B49" s="1982"/>
      <c r="C49" s="1982"/>
      <c r="D49" s="1982"/>
      <c r="E49" s="1982"/>
      <c r="F49" s="1982"/>
      <c r="G49" s="1982"/>
      <c r="H49" s="1982"/>
      <c r="I49" s="1982"/>
      <c r="J49" s="347"/>
      <c r="K49" s="315"/>
      <c r="L49" s="316" t="s">
        <v>397</v>
      </c>
      <c r="M49" s="15"/>
      <c r="N49" s="227"/>
      <c r="O49" s="351">
        <f>SUM(O50:O63)</f>
        <v>0</v>
      </c>
      <c r="P49" s="352">
        <f>SUM(P50:P63)</f>
        <v>0</v>
      </c>
      <c r="Q49" s="350"/>
      <c r="R49" s="199"/>
      <c r="S49" s="199"/>
      <c r="T49" s="199"/>
      <c r="U49" s="199"/>
      <c r="V49" s="199"/>
      <c r="W49" s="262"/>
      <c r="Z49" s="199">
        <v>46</v>
      </c>
      <c r="AA49" s="709"/>
      <c r="AB49" s="1176" t="s">
        <v>1733</v>
      </c>
      <c r="AC49" s="1173" t="s">
        <v>1704</v>
      </c>
      <c r="AD49" s="1185">
        <v>82</v>
      </c>
      <c r="AE49" s="1185">
        <v>16</v>
      </c>
      <c r="AF49" s="1174" t="s">
        <v>1761</v>
      </c>
      <c r="AG49" s="1174" t="str">
        <f t="shared" si="7"/>
        <v>K86</v>
      </c>
      <c r="AH49" s="1185">
        <v>86</v>
      </c>
      <c r="AI49" s="1174">
        <v>11</v>
      </c>
    </row>
    <row r="50" spans="1:35" s="154" customFormat="1" ht="30" customHeight="1">
      <c r="A50" s="158"/>
      <c r="B50" s="1971" t="s">
        <v>198</v>
      </c>
      <c r="C50" s="1971"/>
      <c r="D50" s="365" t="s">
        <v>31</v>
      </c>
      <c r="E50" s="366" t="s">
        <v>877</v>
      </c>
      <c r="F50" s="1969" t="s">
        <v>32</v>
      </c>
      <c r="G50" s="1969"/>
      <c r="H50" s="308" t="s">
        <v>197</v>
      </c>
      <c r="I50" s="203" t="s">
        <v>112</v>
      </c>
      <c r="J50" s="347"/>
      <c r="K50" s="315"/>
      <c r="L50" s="72"/>
      <c r="M50" s="317" t="s">
        <v>784</v>
      </c>
      <c r="N50" s="318"/>
      <c r="O50" s="353">
        <f>元請調査票データ!H33</f>
        <v>0</v>
      </c>
      <c r="P50" s="354" t="s">
        <v>252</v>
      </c>
      <c r="Q50" s="350"/>
      <c r="R50" s="199"/>
      <c r="S50" s="199"/>
      <c r="T50" s="199"/>
      <c r="U50" s="262"/>
      <c r="V50" s="300"/>
      <c r="W50" s="262"/>
      <c r="Z50" s="199">
        <v>47</v>
      </c>
      <c r="AA50" s="709"/>
      <c r="AB50" s="1176" t="s">
        <v>1734</v>
      </c>
      <c r="AC50" s="1173" t="s">
        <v>1704</v>
      </c>
      <c r="AD50" s="1185">
        <v>83</v>
      </c>
      <c r="AE50" s="1185">
        <v>15</v>
      </c>
      <c r="AF50" s="1174" t="s">
        <v>1761</v>
      </c>
      <c r="AG50" s="1174" t="str">
        <f t="shared" si="7"/>
        <v>K87</v>
      </c>
      <c r="AH50" s="1185">
        <v>87</v>
      </c>
      <c r="AI50" s="1174">
        <v>11</v>
      </c>
    </row>
    <row r="51" spans="1:35" s="154" customFormat="1" ht="30" customHeight="1">
      <c r="A51" s="261">
        <v>1</v>
      </c>
      <c r="B51" s="1970" t="str">
        <f>IF(元請調査票データ!C172="","",元請調査票データ!C172)</f>
        <v/>
      </c>
      <c r="C51" s="1970"/>
      <c r="D51" s="367" t="str">
        <f>IF(元請調査票データ!G172="","",元請調査票データ!G172)</f>
        <v/>
      </c>
      <c r="E51" s="367" t="str">
        <f>IF(元請調査票データ!H172="","",元請調査票データ!H172)</f>
        <v/>
      </c>
      <c r="F51" s="1967" t="str">
        <f>IF(OR(D51="",D51=0),"",E51/D51)</f>
        <v/>
      </c>
      <c r="G51" s="1968"/>
      <c r="H51" s="375" t="str">
        <f>IF(OR(D51="",D51=0),"",IF(I51="",R51,IF(AND(R51&lt;&gt;"OK",I51&lt;&gt;""),"要確認→OK",R51)))</f>
        <v/>
      </c>
      <c r="I51" s="368"/>
      <c r="J51" s="347"/>
      <c r="K51" s="315"/>
      <c r="L51" s="72"/>
      <c r="M51" s="319" t="s">
        <v>785</v>
      </c>
      <c r="N51" s="320"/>
      <c r="O51" s="355" t="s">
        <v>476</v>
      </c>
      <c r="P51" s="356">
        <f>元請調査票データ!H34</f>
        <v>0</v>
      </c>
      <c r="Q51" s="350"/>
      <c r="R51" s="450" t="str">
        <f>IF(D51="","",IF(E51/D51*100&gt;=20,"要確認107",IF(E51/D51*100&lt;=-20,"要確認108","OK")))</f>
        <v/>
      </c>
      <c r="S51" s="199"/>
      <c r="T51" s="199"/>
      <c r="U51" s="262"/>
      <c r="V51" s="300"/>
      <c r="W51" s="262"/>
      <c r="Z51" s="199">
        <v>48</v>
      </c>
      <c r="AA51" s="709"/>
      <c r="AB51" s="1189" t="s">
        <v>1735</v>
      </c>
      <c r="AC51" s="1188" t="s">
        <v>1704</v>
      </c>
      <c r="AD51" s="1191">
        <v>84</v>
      </c>
      <c r="AE51" s="1191">
        <v>15</v>
      </c>
      <c r="AF51" s="1194" t="s">
        <v>1761</v>
      </c>
      <c r="AG51" s="1194" t="e">
        <f t="shared" si="7"/>
        <v>#N/A</v>
      </c>
      <c r="AH51" s="1191">
        <v>2</v>
      </c>
      <c r="AI51" s="1194">
        <v>1</v>
      </c>
    </row>
    <row r="52" spans="1:35" ht="30" customHeight="1">
      <c r="A52" s="261">
        <v>2</v>
      </c>
      <c r="B52" s="1970" t="str">
        <f>IF(元請調査票データ!C173="","",元請調査票データ!C173)</f>
        <v/>
      </c>
      <c r="C52" s="1970"/>
      <c r="D52" s="367" t="str">
        <f>IF(元請調査票データ!G173="","",元請調査票データ!G173)</f>
        <v/>
      </c>
      <c r="E52" s="367" t="str">
        <f>IF(元請調査票データ!H173="","",元請調査票データ!H173)</f>
        <v/>
      </c>
      <c r="F52" s="1967" t="str">
        <f t="shared" ref="F52:F110" si="8">IF(OR(D52="",D52=0),"",E52/D52)</f>
        <v/>
      </c>
      <c r="G52" s="1968"/>
      <c r="H52" s="375" t="str">
        <f t="shared" ref="H52:H110" si="9">IF(OR(D52="",D52=0),"",IF(I52="",R52,IF(AND(R52&lt;&gt;"OK",I52&lt;&gt;""),"要確認→OK",R52)))</f>
        <v/>
      </c>
      <c r="I52" s="368"/>
      <c r="J52" s="347"/>
      <c r="K52" s="315"/>
      <c r="L52" s="72"/>
      <c r="M52" s="319" t="s">
        <v>786</v>
      </c>
      <c r="N52" s="320"/>
      <c r="O52" s="355">
        <f>元請調査票データ!H35</f>
        <v>0</v>
      </c>
      <c r="P52" s="356" t="s">
        <v>252</v>
      </c>
      <c r="Q52" s="350"/>
      <c r="R52" s="450" t="str">
        <f t="shared" ref="R52:R110" si="10">IF(D52="","",IF(E52/D52*100&gt;=20,"要確認107",IF(E52/D52*100&lt;=-20,"要確認108","OK")))</f>
        <v/>
      </c>
      <c r="V52" s="231"/>
      <c r="Z52" s="199">
        <v>49</v>
      </c>
      <c r="AA52" s="707"/>
      <c r="AB52" s="1182" t="s">
        <v>1736</v>
      </c>
      <c r="AC52" s="1173" t="s">
        <v>1704</v>
      </c>
      <c r="AD52" s="1185">
        <v>85</v>
      </c>
      <c r="AE52" s="1185">
        <v>15</v>
      </c>
      <c r="AF52" s="1174" t="s">
        <v>1761</v>
      </c>
      <c r="AG52" s="1174" t="str">
        <f t="shared" si="7"/>
        <v>K89</v>
      </c>
      <c r="AH52" s="1174">
        <v>89</v>
      </c>
      <c r="AI52" s="1174">
        <v>11</v>
      </c>
    </row>
    <row r="53" spans="1:35" ht="30" customHeight="1">
      <c r="A53" s="385">
        <v>3</v>
      </c>
      <c r="B53" s="1970" t="str">
        <f>IF(元請調査票データ!C174="","",元請調査票データ!C174)</f>
        <v/>
      </c>
      <c r="C53" s="1970"/>
      <c r="D53" s="367" t="str">
        <f>IF(元請調査票データ!G174="","",元請調査票データ!G174)</f>
        <v/>
      </c>
      <c r="E53" s="367" t="str">
        <f>IF(元請調査票データ!H174="","",元請調査票データ!H174)</f>
        <v/>
      </c>
      <c r="F53" s="1967" t="str">
        <f t="shared" si="8"/>
        <v/>
      </c>
      <c r="G53" s="1968"/>
      <c r="H53" s="375" t="str">
        <f t="shared" si="9"/>
        <v/>
      </c>
      <c r="I53" s="368"/>
      <c r="J53" s="348"/>
      <c r="K53" s="315"/>
      <c r="L53" s="72"/>
      <c r="M53" s="319" t="s">
        <v>35</v>
      </c>
      <c r="N53" s="320"/>
      <c r="O53" s="355">
        <f>元請調査票データ!H36</f>
        <v>0</v>
      </c>
      <c r="P53" s="356" t="s">
        <v>252</v>
      </c>
      <c r="Q53" s="350"/>
      <c r="R53" s="450" t="str">
        <f t="shared" si="10"/>
        <v/>
      </c>
      <c r="Z53" s="199">
        <v>50</v>
      </c>
      <c r="AA53" s="707"/>
      <c r="AB53" s="1190" t="s">
        <v>1737</v>
      </c>
      <c r="AC53" s="1188" t="s">
        <v>1704</v>
      </c>
      <c r="AD53" s="1191">
        <v>86</v>
      </c>
      <c r="AE53" s="1191">
        <v>15</v>
      </c>
      <c r="AF53" s="1194" t="s">
        <v>1761</v>
      </c>
      <c r="AG53" s="1194" t="e">
        <f t="shared" si="7"/>
        <v>#N/A</v>
      </c>
      <c r="AH53" s="1194">
        <v>2</v>
      </c>
      <c r="AI53" s="1194">
        <v>1</v>
      </c>
    </row>
    <row r="54" spans="1:35" ht="30" customHeight="1">
      <c r="A54" s="385">
        <v>4</v>
      </c>
      <c r="B54" s="1970" t="str">
        <f>IF(元請調査票データ!C175="","",元請調査票データ!C175)</f>
        <v/>
      </c>
      <c r="C54" s="1970"/>
      <c r="D54" s="367" t="str">
        <f>IF(元請調査票データ!G175="","",元請調査票データ!G175)</f>
        <v/>
      </c>
      <c r="E54" s="367" t="str">
        <f>IF(元請調査票データ!H175="","",元請調査票データ!H175)</f>
        <v/>
      </c>
      <c r="F54" s="1967" t="str">
        <f t="shared" si="8"/>
        <v/>
      </c>
      <c r="G54" s="1968"/>
      <c r="H54" s="375" t="str">
        <f t="shared" si="9"/>
        <v/>
      </c>
      <c r="I54" s="368"/>
      <c r="J54" s="348"/>
      <c r="K54" s="315"/>
      <c r="L54" s="72"/>
      <c r="M54" s="319" t="s">
        <v>596</v>
      </c>
      <c r="N54" s="320"/>
      <c r="O54" s="355">
        <f>元請調査票データ!H37</f>
        <v>0</v>
      </c>
      <c r="P54" s="356" t="s">
        <v>37</v>
      </c>
      <c r="Q54" s="350"/>
      <c r="R54" s="450" t="str">
        <f t="shared" si="10"/>
        <v/>
      </c>
      <c r="Z54" s="199">
        <v>51</v>
      </c>
      <c r="AA54" s="707"/>
      <c r="AB54" s="1182" t="s">
        <v>1738</v>
      </c>
      <c r="AC54" s="1173" t="s">
        <v>1704</v>
      </c>
      <c r="AD54" s="1185">
        <v>87</v>
      </c>
      <c r="AE54" s="1185">
        <v>15</v>
      </c>
      <c r="AF54" s="1174" t="s">
        <v>1761</v>
      </c>
      <c r="AG54" s="1174" t="str">
        <f t="shared" si="7"/>
        <v>K91</v>
      </c>
      <c r="AH54" s="1174">
        <v>91</v>
      </c>
      <c r="AI54" s="1174">
        <v>11</v>
      </c>
    </row>
    <row r="55" spans="1:35" ht="30" customHeight="1">
      <c r="A55" s="385">
        <v>5</v>
      </c>
      <c r="B55" s="1970" t="str">
        <f>IF(元請調査票データ!C176="","",元請調査票データ!C176)</f>
        <v/>
      </c>
      <c r="C55" s="1970"/>
      <c r="D55" s="367" t="str">
        <f>IF(元請調査票データ!G176="","",元請調査票データ!G176)</f>
        <v/>
      </c>
      <c r="E55" s="367" t="str">
        <f>IF(元請調査票データ!H176="","",元請調査票データ!H176)</f>
        <v/>
      </c>
      <c r="F55" s="1967" t="str">
        <f t="shared" si="8"/>
        <v/>
      </c>
      <c r="G55" s="1968"/>
      <c r="H55" s="375" t="str">
        <f t="shared" si="9"/>
        <v/>
      </c>
      <c r="I55" s="368"/>
      <c r="J55" s="348"/>
      <c r="K55" s="315"/>
      <c r="L55" s="72"/>
      <c r="M55" s="554" t="s">
        <v>36</v>
      </c>
      <c r="N55" s="555"/>
      <c r="O55" s="355">
        <f>元請調査票データ!H38</f>
        <v>0</v>
      </c>
      <c r="P55" s="557" t="s">
        <v>37</v>
      </c>
      <c r="Q55" s="350"/>
      <c r="R55" s="450" t="str">
        <f t="shared" si="10"/>
        <v/>
      </c>
      <c r="V55" s="231"/>
      <c r="Z55" s="199">
        <v>52</v>
      </c>
      <c r="AA55" s="707"/>
      <c r="AB55" s="1182" t="s">
        <v>1739</v>
      </c>
      <c r="AC55" s="1173" t="s">
        <v>1704</v>
      </c>
      <c r="AD55" s="1185">
        <v>88</v>
      </c>
      <c r="AE55" s="1185">
        <v>15</v>
      </c>
      <c r="AF55" s="1174" t="s">
        <v>1761</v>
      </c>
      <c r="AG55" s="1174" t="str">
        <f t="shared" si="7"/>
        <v>K92</v>
      </c>
      <c r="AH55" s="1174">
        <v>92</v>
      </c>
      <c r="AI55" s="1174">
        <v>11</v>
      </c>
    </row>
    <row r="56" spans="1:35" s="154" customFormat="1" ht="30" customHeight="1">
      <c r="A56" s="385">
        <v>6</v>
      </c>
      <c r="B56" s="1970" t="str">
        <f>IF(元請調査票データ!C177="","",元請調査票データ!C177)</f>
        <v/>
      </c>
      <c r="C56" s="1970"/>
      <c r="D56" s="367" t="str">
        <f>IF(元請調査票データ!G177="","",元請調査票データ!G177)</f>
        <v/>
      </c>
      <c r="E56" s="367" t="str">
        <f>IF(元請調査票データ!H177="","",元請調査票データ!H177)</f>
        <v/>
      </c>
      <c r="F56" s="1967" t="str">
        <f t="shared" si="8"/>
        <v/>
      </c>
      <c r="G56" s="1968"/>
      <c r="H56" s="375" t="str">
        <f t="shared" si="9"/>
        <v/>
      </c>
      <c r="I56" s="368"/>
      <c r="J56" s="347"/>
      <c r="K56" s="560"/>
      <c r="M56" s="319" t="s">
        <v>774</v>
      </c>
      <c r="O56" s="556" t="s">
        <v>771</v>
      </c>
      <c r="P56" s="557">
        <f>元請調査票データ!H39</f>
        <v>0</v>
      </c>
      <c r="Q56" s="350"/>
      <c r="R56" s="450" t="str">
        <f t="shared" si="10"/>
        <v/>
      </c>
      <c r="S56" s="199"/>
      <c r="T56" s="199"/>
      <c r="U56" s="262"/>
      <c r="V56" s="300"/>
      <c r="W56" s="262"/>
      <c r="Z56" s="199">
        <v>53</v>
      </c>
      <c r="AA56" s="508"/>
      <c r="AB56" s="1182" t="s">
        <v>1740</v>
      </c>
      <c r="AC56" s="1173" t="s">
        <v>1704</v>
      </c>
      <c r="AD56" s="1185">
        <v>89</v>
      </c>
      <c r="AE56" s="1185">
        <v>16</v>
      </c>
      <c r="AF56" s="1174" t="s">
        <v>1761</v>
      </c>
      <c r="AG56" s="1174" t="str">
        <f t="shared" si="7"/>
        <v>K93</v>
      </c>
      <c r="AH56" s="1185">
        <v>93</v>
      </c>
      <c r="AI56" s="1174">
        <v>11</v>
      </c>
    </row>
    <row r="57" spans="1:35" s="154" customFormat="1" ht="30" customHeight="1">
      <c r="A57" s="385">
        <v>7</v>
      </c>
      <c r="B57" s="1970" t="str">
        <f>IF(元請調査票データ!C178="","",元請調査票データ!C178)</f>
        <v/>
      </c>
      <c r="C57" s="1970"/>
      <c r="D57" s="367" t="str">
        <f>IF(元請調査票データ!G178="","",元請調査票データ!G178)</f>
        <v/>
      </c>
      <c r="E57" s="367" t="str">
        <f>IF(元請調査票データ!H178="","",元請調査票データ!H178)</f>
        <v/>
      </c>
      <c r="F57" s="1967" t="str">
        <f t="shared" si="8"/>
        <v/>
      </c>
      <c r="G57" s="1968"/>
      <c r="H57" s="375" t="str">
        <f t="shared" si="9"/>
        <v/>
      </c>
      <c r="I57" s="368"/>
      <c r="J57" s="347"/>
      <c r="K57" s="315"/>
      <c r="L57" s="72"/>
      <c r="M57" s="319" t="s">
        <v>787</v>
      </c>
      <c r="N57" s="320"/>
      <c r="O57" s="355">
        <f>元請調査票データ!H40</f>
        <v>0</v>
      </c>
      <c r="P57" s="356" t="s">
        <v>252</v>
      </c>
      <c r="Q57" s="350"/>
      <c r="R57" s="450" t="str">
        <f t="shared" si="10"/>
        <v/>
      </c>
      <c r="S57" s="199"/>
      <c r="T57" s="199"/>
      <c r="U57" s="199"/>
      <c r="V57" s="231"/>
      <c r="W57" s="262"/>
      <c r="Z57" s="199">
        <v>54</v>
      </c>
      <c r="AA57" s="542" t="s">
        <v>27</v>
      </c>
      <c r="AB57" s="1181" t="s">
        <v>28</v>
      </c>
      <c r="AC57" s="1173" t="s">
        <v>1704</v>
      </c>
      <c r="AD57" s="1183">
        <v>91</v>
      </c>
      <c r="AE57" s="1185">
        <v>16</v>
      </c>
      <c r="AF57" s="1174" t="s">
        <v>1761</v>
      </c>
      <c r="AG57" s="1174" t="str">
        <f t="shared" si="7"/>
        <v>K100</v>
      </c>
      <c r="AH57" s="1185">
        <v>100</v>
      </c>
      <c r="AI57" s="1174">
        <v>11</v>
      </c>
    </row>
    <row r="58" spans="1:35" s="154" customFormat="1" ht="30" customHeight="1">
      <c r="A58" s="385">
        <v>8</v>
      </c>
      <c r="B58" s="1970" t="str">
        <f>IF(元請調査票データ!C179="","",元請調査票データ!C179)</f>
        <v/>
      </c>
      <c r="C58" s="1970"/>
      <c r="D58" s="367" t="str">
        <f>IF(元請調査票データ!G179="","",元請調査票データ!G179)</f>
        <v/>
      </c>
      <c r="E58" s="367" t="str">
        <f>IF(元請調査票データ!H179="","",元請調査票データ!H179)</f>
        <v/>
      </c>
      <c r="F58" s="1967" t="str">
        <f t="shared" si="8"/>
        <v/>
      </c>
      <c r="G58" s="1968"/>
      <c r="H58" s="375" t="str">
        <f t="shared" si="9"/>
        <v/>
      </c>
      <c r="I58" s="368"/>
      <c r="J58" s="347"/>
      <c r="K58" s="315"/>
      <c r="L58" s="72"/>
      <c r="M58" s="319" t="s">
        <v>788</v>
      </c>
      <c r="N58" s="320"/>
      <c r="O58" s="355">
        <f>元請調査票データ!H41</f>
        <v>0</v>
      </c>
      <c r="P58" s="356" t="s">
        <v>252</v>
      </c>
      <c r="Q58" s="350"/>
      <c r="R58" s="450" t="str">
        <f t="shared" si="10"/>
        <v/>
      </c>
      <c r="S58" s="199"/>
      <c r="T58" s="199"/>
      <c r="U58" s="199"/>
      <c r="V58" s="199"/>
      <c r="W58" s="262"/>
      <c r="Z58" s="199">
        <v>55</v>
      </c>
      <c r="AA58" s="508"/>
      <c r="AB58" s="1182" t="s">
        <v>29</v>
      </c>
      <c r="AC58" s="1173" t="s">
        <v>1704</v>
      </c>
      <c r="AD58" s="1185">
        <v>92</v>
      </c>
      <c r="AE58" s="1185">
        <v>16</v>
      </c>
      <c r="AF58" s="1174" t="s">
        <v>1761</v>
      </c>
      <c r="AG58" s="1174" t="str">
        <f t="shared" si="7"/>
        <v>K101</v>
      </c>
      <c r="AH58" s="1185">
        <v>101</v>
      </c>
      <c r="AI58" s="1174">
        <v>11</v>
      </c>
    </row>
    <row r="59" spans="1:35" s="154" customFormat="1" ht="30" customHeight="1">
      <c r="A59" s="385">
        <v>9</v>
      </c>
      <c r="B59" s="1970" t="str">
        <f>IF(元請調査票データ!C180="","",元請調査票データ!C180)</f>
        <v/>
      </c>
      <c r="C59" s="1970"/>
      <c r="D59" s="367" t="str">
        <f>IF(元請調査票データ!G180="","",元請調査票データ!G180)</f>
        <v/>
      </c>
      <c r="E59" s="367" t="str">
        <f>IF(元請調査票データ!H180="","",元請調査票データ!H180)</f>
        <v/>
      </c>
      <c r="F59" s="1967" t="str">
        <f t="shared" si="8"/>
        <v/>
      </c>
      <c r="G59" s="1968"/>
      <c r="H59" s="375" t="str">
        <f t="shared" si="9"/>
        <v/>
      </c>
      <c r="I59" s="368"/>
      <c r="J59" s="347"/>
      <c r="K59" s="315"/>
      <c r="L59" s="72"/>
      <c r="M59" s="319" t="s">
        <v>789</v>
      </c>
      <c r="N59" s="320"/>
      <c r="O59" s="355">
        <f>元請調査票データ!H42</f>
        <v>0</v>
      </c>
      <c r="P59" s="356" t="s">
        <v>252</v>
      </c>
      <c r="Q59" s="350"/>
      <c r="R59" s="450" t="str">
        <f t="shared" si="10"/>
        <v/>
      </c>
      <c r="S59" s="199"/>
      <c r="T59" s="199"/>
      <c r="U59" s="199"/>
      <c r="V59" s="199"/>
      <c r="W59" s="262"/>
      <c r="Z59" s="199">
        <v>56</v>
      </c>
      <c r="AA59" s="208" t="s">
        <v>1741</v>
      </c>
      <c r="AB59" s="227"/>
      <c r="AC59" s="1173" t="s">
        <v>1704</v>
      </c>
      <c r="AD59" s="1185">
        <v>93</v>
      </c>
      <c r="AE59" s="1185">
        <v>16</v>
      </c>
      <c r="AF59" s="1174" t="s">
        <v>1761</v>
      </c>
      <c r="AG59" s="1174" t="str">
        <f t="shared" si="7"/>
        <v>K107</v>
      </c>
      <c r="AH59" s="1185">
        <v>107</v>
      </c>
      <c r="AI59" s="1174">
        <v>11</v>
      </c>
    </row>
    <row r="60" spans="1:35" s="154" customFormat="1" ht="30" customHeight="1">
      <c r="A60" s="385">
        <v>10</v>
      </c>
      <c r="B60" s="1970" t="str">
        <f>IF(元請調査票データ!C181="","",元請調査票データ!C181)</f>
        <v/>
      </c>
      <c r="C60" s="1970"/>
      <c r="D60" s="367" t="str">
        <f>IF(元請調査票データ!G181="","",元請調査票データ!G181)</f>
        <v/>
      </c>
      <c r="E60" s="367" t="str">
        <f>IF(元請調査票データ!H181="","",元請調査票データ!H181)</f>
        <v/>
      </c>
      <c r="F60" s="1967" t="str">
        <f t="shared" si="8"/>
        <v/>
      </c>
      <c r="G60" s="1968"/>
      <c r="H60" s="375" t="str">
        <f t="shared" si="9"/>
        <v/>
      </c>
      <c r="I60" s="368"/>
      <c r="J60" s="347"/>
      <c r="K60" s="315"/>
      <c r="L60" s="72"/>
      <c r="M60" s="319" t="s">
        <v>790</v>
      </c>
      <c r="N60" s="320"/>
      <c r="O60" s="355" t="s">
        <v>252</v>
      </c>
      <c r="P60" s="356">
        <f>元請調査票データ!H43</f>
        <v>0</v>
      </c>
      <c r="Q60" s="350"/>
      <c r="R60" s="450" t="str">
        <f t="shared" si="10"/>
        <v/>
      </c>
      <c r="S60" s="199"/>
      <c r="T60" s="199"/>
      <c r="U60" s="199"/>
      <c r="V60" s="231"/>
      <c r="W60" s="262"/>
      <c r="Z60" s="199">
        <v>57</v>
      </c>
      <c r="AA60" s="208" t="s">
        <v>1742</v>
      </c>
      <c r="AB60" s="227"/>
      <c r="AC60" s="1173" t="s">
        <v>1704</v>
      </c>
      <c r="AD60" s="1185">
        <v>94</v>
      </c>
      <c r="AE60" s="1185">
        <v>16</v>
      </c>
      <c r="AF60" s="1174" t="s">
        <v>1761</v>
      </c>
      <c r="AG60" s="1174" t="str">
        <f t="shared" si="7"/>
        <v>K108</v>
      </c>
      <c r="AH60" s="1185">
        <v>108</v>
      </c>
      <c r="AI60" s="1174">
        <v>11</v>
      </c>
    </row>
    <row r="61" spans="1:35" ht="30" customHeight="1">
      <c r="A61" s="385">
        <v>11</v>
      </c>
      <c r="B61" s="1970" t="str">
        <f>IF(元請調査票データ!C182="","",元請調査票データ!C182)</f>
        <v/>
      </c>
      <c r="C61" s="1970"/>
      <c r="D61" s="367" t="str">
        <f>IF(元請調査票データ!G182="","",元請調査票データ!G182)</f>
        <v/>
      </c>
      <c r="E61" s="367" t="str">
        <f>IF(元請調査票データ!H182="","",元請調査票データ!H182)</f>
        <v/>
      </c>
      <c r="F61" s="1967" t="str">
        <f t="shared" si="8"/>
        <v/>
      </c>
      <c r="G61" s="1968"/>
      <c r="H61" s="375" t="str">
        <f t="shared" si="9"/>
        <v/>
      </c>
      <c r="I61" s="368"/>
      <c r="J61" s="347"/>
      <c r="K61" s="315"/>
      <c r="L61" s="72"/>
      <c r="M61" s="319" t="s">
        <v>340</v>
      </c>
      <c r="N61" s="320"/>
      <c r="O61" s="355">
        <f>元請調査票データ!H44</f>
        <v>0</v>
      </c>
      <c r="P61" s="356" t="s">
        <v>252</v>
      </c>
      <c r="Q61" s="350"/>
      <c r="R61" s="450" t="str">
        <f t="shared" si="10"/>
        <v/>
      </c>
      <c r="U61" s="262"/>
      <c r="V61" s="300"/>
      <c r="Z61" s="199">
        <v>58</v>
      </c>
      <c r="AA61" s="204" t="s">
        <v>1743</v>
      </c>
      <c r="AB61" s="227"/>
      <c r="AC61" s="1173" t="s">
        <v>1704</v>
      </c>
      <c r="AD61" s="1185">
        <v>95</v>
      </c>
      <c r="AE61" s="1185">
        <v>16</v>
      </c>
      <c r="AF61" s="1174" t="s">
        <v>1761</v>
      </c>
      <c r="AG61" s="1174" t="str">
        <f t="shared" si="7"/>
        <v>K109</v>
      </c>
      <c r="AH61" s="1174">
        <v>109</v>
      </c>
      <c r="AI61" s="1174">
        <v>11</v>
      </c>
    </row>
    <row r="62" spans="1:35" ht="30" customHeight="1">
      <c r="A62" s="385">
        <v>12</v>
      </c>
      <c r="B62" s="1970" t="str">
        <f>IF(元請調査票データ!C183="","",元請調査票データ!C183)</f>
        <v/>
      </c>
      <c r="C62" s="1970"/>
      <c r="D62" s="367" t="str">
        <f>IF(元請調査票データ!G183="","",元請調査票データ!G183)</f>
        <v/>
      </c>
      <c r="E62" s="367" t="str">
        <f>IF(元請調査票データ!H183="","",元請調査票データ!H183)</f>
        <v/>
      </c>
      <c r="F62" s="1967" t="str">
        <f t="shared" si="8"/>
        <v/>
      </c>
      <c r="G62" s="1968"/>
      <c r="H62" s="375" t="str">
        <f t="shared" si="9"/>
        <v/>
      </c>
      <c r="I62" s="368"/>
      <c r="J62" s="347"/>
      <c r="K62" s="315"/>
      <c r="L62" s="72"/>
      <c r="M62" s="583" t="s">
        <v>382</v>
      </c>
      <c r="N62" s="584"/>
      <c r="O62" s="585" t="s">
        <v>252</v>
      </c>
      <c r="P62" s="586">
        <f>元請調査票データ!H45</f>
        <v>0</v>
      </c>
      <c r="Q62" s="350"/>
      <c r="R62" s="450" t="str">
        <f t="shared" si="10"/>
        <v/>
      </c>
      <c r="V62" s="231"/>
      <c r="Z62" s="199">
        <v>59</v>
      </c>
      <c r="AA62" s="1192" t="s">
        <v>1744</v>
      </c>
      <c r="AB62" s="1195"/>
      <c r="AC62" s="1188" t="s">
        <v>1704</v>
      </c>
      <c r="AD62" s="1191">
        <v>96</v>
      </c>
      <c r="AE62" s="1191">
        <v>16</v>
      </c>
      <c r="AF62" s="1194" t="s">
        <v>1761</v>
      </c>
      <c r="AG62" s="1194" t="e">
        <f t="shared" si="7"/>
        <v>#N/A</v>
      </c>
      <c r="AH62" s="1194">
        <v>2</v>
      </c>
      <c r="AI62" s="1194">
        <v>1</v>
      </c>
    </row>
    <row r="63" spans="1:35" ht="30" customHeight="1">
      <c r="A63" s="385">
        <v>13</v>
      </c>
      <c r="B63" s="1970" t="str">
        <f>IF(元請調査票データ!C184="","",元請調査票データ!C184)</f>
        <v/>
      </c>
      <c r="C63" s="1970"/>
      <c r="D63" s="367" t="str">
        <f>IF(元請調査票データ!G184="","",元請調査票データ!G184)</f>
        <v/>
      </c>
      <c r="E63" s="367" t="str">
        <f>IF(元請調査票データ!H184="","",元請調査票データ!H184)</f>
        <v/>
      </c>
      <c r="F63" s="1967" t="str">
        <f t="shared" si="8"/>
        <v/>
      </c>
      <c r="G63" s="1968"/>
      <c r="H63" s="375" t="str">
        <f t="shared" si="9"/>
        <v/>
      </c>
      <c r="I63" s="368"/>
      <c r="J63" s="347"/>
      <c r="K63" s="315"/>
      <c r="L63" s="321"/>
      <c r="M63" s="322" t="s">
        <v>381</v>
      </c>
      <c r="N63" s="323"/>
      <c r="O63" s="357">
        <f>元請調査票データ!H46</f>
        <v>0</v>
      </c>
      <c r="P63" s="358" t="s">
        <v>252</v>
      </c>
      <c r="Q63" s="350"/>
      <c r="R63" s="450" t="str">
        <f t="shared" si="10"/>
        <v/>
      </c>
      <c r="Z63" s="199">
        <v>60</v>
      </c>
      <c r="AA63" s="1192" t="s">
        <v>1745</v>
      </c>
      <c r="AB63" s="1193"/>
      <c r="AC63" s="1188" t="s">
        <v>1704</v>
      </c>
      <c r="AD63" s="1191">
        <v>97</v>
      </c>
      <c r="AE63" s="1191">
        <v>16</v>
      </c>
      <c r="AF63" s="1194" t="s">
        <v>1761</v>
      </c>
      <c r="AG63" s="1194" t="e">
        <f t="shared" si="7"/>
        <v>#N/A</v>
      </c>
      <c r="AH63" s="1194">
        <v>2</v>
      </c>
      <c r="AI63" s="1194">
        <v>1</v>
      </c>
    </row>
    <row r="64" spans="1:35" ht="30" customHeight="1">
      <c r="A64" s="385">
        <v>14</v>
      </c>
      <c r="B64" s="1970" t="str">
        <f>IF(元請調査票データ!C185="","",元請調査票データ!C185)</f>
        <v/>
      </c>
      <c r="C64" s="1970"/>
      <c r="D64" s="367" t="str">
        <f>IF(元請調査票データ!G185="","",元請調査票データ!G185)</f>
        <v/>
      </c>
      <c r="E64" s="367" t="str">
        <f>IF(元請調査票データ!H185="","",元請調査票データ!H185)</f>
        <v/>
      </c>
      <c r="F64" s="1967" t="str">
        <f t="shared" si="8"/>
        <v/>
      </c>
      <c r="G64" s="1968"/>
      <c r="H64" s="375" t="str">
        <f t="shared" si="9"/>
        <v/>
      </c>
      <c r="I64" s="368"/>
      <c r="J64" s="348"/>
      <c r="K64" s="324"/>
      <c r="L64" s="325" t="s">
        <v>208</v>
      </c>
      <c r="M64" s="15"/>
      <c r="N64" s="227"/>
      <c r="O64" s="351">
        <f>SUM(O65:O68)</f>
        <v>0</v>
      </c>
      <c r="P64" s="352">
        <f>SUM(P65:P68)</f>
        <v>0</v>
      </c>
      <c r="Q64" s="350"/>
      <c r="R64" s="450" t="str">
        <f t="shared" si="10"/>
        <v/>
      </c>
      <c r="Z64" s="199">
        <v>61</v>
      </c>
      <c r="AA64" s="1192" t="s">
        <v>1746</v>
      </c>
      <c r="AB64" s="1193"/>
      <c r="AC64" s="1188" t="s">
        <v>1704</v>
      </c>
      <c r="AD64" s="1191">
        <v>98</v>
      </c>
      <c r="AE64" s="1191">
        <v>16</v>
      </c>
      <c r="AF64" s="1194" t="s">
        <v>1761</v>
      </c>
      <c r="AG64" s="1194" t="e">
        <f t="shared" si="7"/>
        <v>#N/A</v>
      </c>
      <c r="AH64" s="1194">
        <v>2</v>
      </c>
      <c r="AI64" s="1194">
        <v>1</v>
      </c>
    </row>
    <row r="65" spans="1:35" ht="30" customHeight="1">
      <c r="A65" s="385">
        <v>15</v>
      </c>
      <c r="B65" s="1970" t="str">
        <f>IF(元請調査票データ!C186="","",元請調査票データ!C186)</f>
        <v/>
      </c>
      <c r="C65" s="1970"/>
      <c r="D65" s="367" t="str">
        <f>IF(元請調査票データ!G186="","",元請調査票データ!G186)</f>
        <v/>
      </c>
      <c r="E65" s="367" t="str">
        <f>IF(元請調査票データ!H186="","",元請調査票データ!H186)</f>
        <v/>
      </c>
      <c r="F65" s="1967" t="str">
        <f t="shared" si="8"/>
        <v/>
      </c>
      <c r="G65" s="1968"/>
      <c r="H65" s="375" t="str">
        <f t="shared" si="9"/>
        <v/>
      </c>
      <c r="I65" s="368"/>
      <c r="J65" s="348"/>
      <c r="K65" s="315"/>
      <c r="L65" s="72"/>
      <c r="M65" s="317" t="s">
        <v>206</v>
      </c>
      <c r="N65" s="318"/>
      <c r="O65" s="1349">
        <f>元請調査票データ!H48</f>
        <v>0</v>
      </c>
      <c r="P65" s="354" t="s">
        <v>252</v>
      </c>
      <c r="Q65" s="350"/>
      <c r="R65" s="450" t="str">
        <f t="shared" si="10"/>
        <v/>
      </c>
      <c r="V65" s="231"/>
      <c r="Z65" s="199">
        <v>62</v>
      </c>
      <c r="AA65" s="204" t="s">
        <v>1747</v>
      </c>
      <c r="AB65" s="205"/>
      <c r="AC65" s="1173" t="s">
        <v>1704</v>
      </c>
      <c r="AD65" s="1185">
        <v>99</v>
      </c>
      <c r="AE65" s="1185">
        <v>16</v>
      </c>
      <c r="AF65" s="1174" t="s">
        <v>1761</v>
      </c>
      <c r="AG65" s="1174" t="str">
        <f t="shared" si="7"/>
        <v>K118</v>
      </c>
      <c r="AH65" s="1174">
        <v>118</v>
      </c>
      <c r="AI65" s="1174">
        <v>11</v>
      </c>
    </row>
    <row r="66" spans="1:35" ht="30" customHeight="1">
      <c r="A66" s="385">
        <v>16</v>
      </c>
      <c r="B66" s="1970" t="str">
        <f>IF(元請調査票データ!C187="","",元請調査票データ!C187)</f>
        <v/>
      </c>
      <c r="C66" s="1970"/>
      <c r="D66" s="367" t="str">
        <f>IF(元請調査票データ!G187="","",元請調査票データ!G187)</f>
        <v/>
      </c>
      <c r="E66" s="367" t="str">
        <f>IF(元請調査票データ!H187="","",元請調査票データ!H187)</f>
        <v/>
      </c>
      <c r="F66" s="1967" t="str">
        <f t="shared" si="8"/>
        <v/>
      </c>
      <c r="G66" s="1968"/>
      <c r="H66" s="375" t="str">
        <f t="shared" si="9"/>
        <v/>
      </c>
      <c r="I66" s="368"/>
      <c r="J66" s="348"/>
      <c r="K66" s="315"/>
      <c r="L66" s="72"/>
      <c r="M66" s="319" t="s">
        <v>51</v>
      </c>
      <c r="N66" s="320"/>
      <c r="O66" s="1350">
        <f>元請調査票データ!H49</f>
        <v>0</v>
      </c>
      <c r="P66" s="356" t="s">
        <v>252</v>
      </c>
      <c r="Q66" s="350"/>
      <c r="R66" s="450" t="str">
        <f t="shared" si="10"/>
        <v/>
      </c>
      <c r="Z66" s="199">
        <v>63</v>
      </c>
      <c r="AA66" s="1171" t="s">
        <v>706</v>
      </c>
      <c r="AB66" s="1177" t="s">
        <v>1748</v>
      </c>
      <c r="AC66" s="1173" t="s">
        <v>1704</v>
      </c>
      <c r="AD66" s="1179">
        <v>101</v>
      </c>
      <c r="AE66" s="1185">
        <v>16</v>
      </c>
      <c r="AF66" s="1174" t="s">
        <v>1761</v>
      </c>
      <c r="AG66" s="1174" t="str">
        <f t="shared" si="7"/>
        <v>K120</v>
      </c>
      <c r="AH66" s="1174">
        <v>120</v>
      </c>
      <c r="AI66" s="1174">
        <v>11</v>
      </c>
    </row>
    <row r="67" spans="1:35" ht="30" customHeight="1">
      <c r="A67" s="385">
        <v>17</v>
      </c>
      <c r="B67" s="1970" t="str">
        <f>IF(元請調査票データ!C188="","",元請調査票データ!C188)</f>
        <v/>
      </c>
      <c r="C67" s="1970"/>
      <c r="D67" s="367" t="str">
        <f>IF(元請調査票データ!G188="","",元請調査票データ!G188)</f>
        <v/>
      </c>
      <c r="E67" s="367" t="str">
        <f>IF(元請調査票データ!H188="","",元請調査票データ!H188)</f>
        <v/>
      </c>
      <c r="F67" s="1967" t="str">
        <f t="shared" si="8"/>
        <v/>
      </c>
      <c r="G67" s="1968"/>
      <c r="H67" s="375" t="str">
        <f t="shared" si="9"/>
        <v/>
      </c>
      <c r="I67" s="368"/>
      <c r="J67" s="348"/>
      <c r="K67" s="315"/>
      <c r="L67" s="72"/>
      <c r="M67" s="319" t="s">
        <v>405</v>
      </c>
      <c r="N67" s="320"/>
      <c r="O67" s="1350">
        <f>元請調査票データ!H50</f>
        <v>0</v>
      </c>
      <c r="P67" s="356" t="s">
        <v>252</v>
      </c>
      <c r="Q67" s="350"/>
      <c r="R67" s="450" t="str">
        <f t="shared" si="10"/>
        <v/>
      </c>
      <c r="U67" s="231"/>
      <c r="V67" s="231"/>
      <c r="Z67" s="199">
        <v>64</v>
      </c>
      <c r="AA67" s="1172"/>
      <c r="AB67" s="1176" t="s">
        <v>1749</v>
      </c>
      <c r="AC67" s="1173" t="s">
        <v>1704</v>
      </c>
      <c r="AD67" s="1174">
        <v>102</v>
      </c>
      <c r="AE67" s="1185">
        <v>16</v>
      </c>
      <c r="AF67" s="1174" t="s">
        <v>1761</v>
      </c>
      <c r="AG67" s="1174" t="str">
        <f t="shared" si="7"/>
        <v>K121</v>
      </c>
      <c r="AH67" s="1174">
        <v>121</v>
      </c>
      <c r="AI67" s="1174">
        <v>11</v>
      </c>
    </row>
    <row r="68" spans="1:35" ht="30" customHeight="1">
      <c r="A68" s="385">
        <v>18</v>
      </c>
      <c r="B68" s="1970" t="str">
        <f>IF(元請調査票データ!C189="","",元請調査票データ!C189)</f>
        <v/>
      </c>
      <c r="C68" s="1970"/>
      <c r="D68" s="367" t="str">
        <f>IF(元請調査票データ!G189="","",元請調査票データ!G189)</f>
        <v/>
      </c>
      <c r="E68" s="367" t="str">
        <f>IF(元請調査票データ!H189="","",元請調査票データ!H189)</f>
        <v/>
      </c>
      <c r="F68" s="1967" t="str">
        <f t="shared" si="8"/>
        <v/>
      </c>
      <c r="G68" s="1968"/>
      <c r="H68" s="375" t="str">
        <f t="shared" si="9"/>
        <v/>
      </c>
      <c r="I68" s="368"/>
      <c r="J68" s="348"/>
      <c r="K68" s="324"/>
      <c r="L68" s="164"/>
      <c r="M68" s="508" t="s">
        <v>398</v>
      </c>
      <c r="N68" s="331"/>
      <c r="O68" s="1351">
        <f>元請調査票データ!H51</f>
        <v>0</v>
      </c>
      <c r="P68" s="391" t="s">
        <v>207</v>
      </c>
      <c r="Q68" s="350"/>
      <c r="R68" s="450" t="str">
        <f t="shared" si="10"/>
        <v/>
      </c>
      <c r="V68" s="231"/>
      <c r="Z68" s="199">
        <v>65</v>
      </c>
      <c r="AA68" s="1171" t="s">
        <v>707</v>
      </c>
      <c r="AB68" s="1176" t="s">
        <v>1750</v>
      </c>
      <c r="AC68" s="1173" t="s">
        <v>1704</v>
      </c>
      <c r="AD68" s="1196">
        <v>104</v>
      </c>
      <c r="AE68" s="1174">
        <v>15</v>
      </c>
      <c r="AF68" s="1174" t="s">
        <v>1761</v>
      </c>
      <c r="AG68" s="1174" t="str">
        <f t="shared" si="7"/>
        <v>K128</v>
      </c>
      <c r="AH68" s="1174">
        <v>128</v>
      </c>
      <c r="AI68" s="1174">
        <v>11</v>
      </c>
    </row>
    <row r="69" spans="1:35" ht="30" customHeight="1">
      <c r="A69" s="385">
        <v>19</v>
      </c>
      <c r="B69" s="1970" t="str">
        <f>IF(元請調査票データ!C190="","",元請調査票データ!C190)</f>
        <v/>
      </c>
      <c r="C69" s="1970"/>
      <c r="D69" s="367" t="str">
        <f>IF(元請調査票データ!G190="","",元請調査票データ!G190)</f>
        <v/>
      </c>
      <c r="E69" s="367" t="str">
        <f>IF(元請調査票データ!H190="","",元請調査票データ!H190)</f>
        <v/>
      </c>
      <c r="F69" s="1967" t="str">
        <f t="shared" si="8"/>
        <v/>
      </c>
      <c r="G69" s="1968"/>
      <c r="H69" s="375" t="str">
        <f t="shared" si="9"/>
        <v/>
      </c>
      <c r="I69" s="368"/>
      <c r="J69" s="348"/>
      <c r="K69" s="315"/>
      <c r="L69" s="316" t="s">
        <v>209</v>
      </c>
      <c r="M69" s="15"/>
      <c r="N69" s="227"/>
      <c r="O69" s="351">
        <f>SUM(O70:O74)</f>
        <v>0</v>
      </c>
      <c r="P69" s="352">
        <f>SUM(P70:P74)</f>
        <v>0</v>
      </c>
      <c r="Q69" s="350"/>
      <c r="R69" s="450" t="str">
        <f t="shared" si="10"/>
        <v/>
      </c>
      <c r="Z69" s="199">
        <v>66</v>
      </c>
      <c r="AA69" s="709"/>
      <c r="AB69" s="1176" t="s">
        <v>1751</v>
      </c>
      <c r="AC69" s="1173" t="s">
        <v>1704</v>
      </c>
      <c r="AD69" s="1196">
        <v>105</v>
      </c>
      <c r="AE69" s="1174">
        <v>16</v>
      </c>
      <c r="AF69" s="1174" t="s">
        <v>1761</v>
      </c>
      <c r="AG69" s="1174" t="str">
        <f t="shared" si="7"/>
        <v>K129</v>
      </c>
      <c r="AH69" s="1174">
        <v>129</v>
      </c>
      <c r="AI69" s="1174">
        <v>11</v>
      </c>
    </row>
    <row r="70" spans="1:35" ht="30" customHeight="1">
      <c r="A70" s="385">
        <v>20</v>
      </c>
      <c r="B70" s="1970" t="str">
        <f>IF(元請調査票データ!C191="","",元請調査票データ!C191)</f>
        <v/>
      </c>
      <c r="C70" s="1970"/>
      <c r="D70" s="367" t="str">
        <f>IF(元請調査票データ!G191="","",元請調査票データ!G191)</f>
        <v/>
      </c>
      <c r="E70" s="367" t="str">
        <f>IF(元請調査票データ!H191="","",元請調査票データ!H191)</f>
        <v/>
      </c>
      <c r="F70" s="1967" t="str">
        <f t="shared" si="8"/>
        <v/>
      </c>
      <c r="G70" s="1968"/>
      <c r="H70" s="375" t="str">
        <f t="shared" si="9"/>
        <v/>
      </c>
      <c r="I70" s="368"/>
      <c r="J70" s="348"/>
      <c r="K70" s="315"/>
      <c r="L70" s="324"/>
      <c r="M70" s="317" t="s">
        <v>406</v>
      </c>
      <c r="N70" s="320"/>
      <c r="O70" s="355" t="s">
        <v>389</v>
      </c>
      <c r="P70" s="356">
        <f>元請調査票データ!H53</f>
        <v>0</v>
      </c>
      <c r="Q70" s="350"/>
      <c r="R70" s="450" t="str">
        <f t="shared" si="10"/>
        <v/>
      </c>
      <c r="Z70" s="199">
        <v>67</v>
      </c>
      <c r="AA70" s="709"/>
      <c r="AB70" s="1176" t="s">
        <v>1752</v>
      </c>
      <c r="AC70" s="1173" t="s">
        <v>1704</v>
      </c>
      <c r="AD70" s="1196">
        <v>106</v>
      </c>
      <c r="AE70" s="1174">
        <v>16</v>
      </c>
      <c r="AF70" s="1174" t="s">
        <v>1761</v>
      </c>
      <c r="AG70" s="1174" t="str">
        <f t="shared" si="7"/>
        <v>K130</v>
      </c>
      <c r="AH70" s="1174">
        <v>130</v>
      </c>
      <c r="AI70" s="1174">
        <v>11</v>
      </c>
    </row>
    <row r="71" spans="1:35" ht="30" customHeight="1">
      <c r="A71" s="385">
        <v>21</v>
      </c>
      <c r="B71" s="1970" t="str">
        <f>IF(元請調査票データ!C192="","",元請調査票データ!C192)</f>
        <v/>
      </c>
      <c r="C71" s="1970"/>
      <c r="D71" s="367" t="str">
        <f>IF(元請調査票データ!G192="","",元請調査票データ!G192)</f>
        <v/>
      </c>
      <c r="E71" s="367" t="str">
        <f>IF(元請調査票データ!H192="","",元請調査票データ!H192)</f>
        <v/>
      </c>
      <c r="F71" s="1967" t="str">
        <f t="shared" si="8"/>
        <v/>
      </c>
      <c r="G71" s="1968"/>
      <c r="H71" s="375" t="str">
        <f t="shared" si="9"/>
        <v/>
      </c>
      <c r="I71" s="368"/>
      <c r="J71" s="348"/>
      <c r="K71" s="315"/>
      <c r="L71" s="324"/>
      <c r="M71" s="319" t="s">
        <v>5445</v>
      </c>
      <c r="N71" s="320"/>
      <c r="O71" s="355" t="s">
        <v>389</v>
      </c>
      <c r="P71" s="356">
        <f>元請調査票データ!H54</f>
        <v>0</v>
      </c>
      <c r="Q71" s="350"/>
      <c r="R71" s="450" t="str">
        <f t="shared" si="10"/>
        <v/>
      </c>
      <c r="Z71" s="199">
        <v>68</v>
      </c>
      <c r="AA71" s="709"/>
      <c r="AB71" s="1176" t="s">
        <v>1753</v>
      </c>
      <c r="AC71" s="1173" t="s">
        <v>1704</v>
      </c>
      <c r="AD71" s="1196">
        <v>107</v>
      </c>
      <c r="AE71" s="1174">
        <v>16</v>
      </c>
      <c r="AF71" s="1174" t="s">
        <v>1761</v>
      </c>
      <c r="AG71" s="1174" t="str">
        <f t="shared" ref="AG71:AG87" si="11">VLOOKUP($AI71,$AJ$4:$AK$29,2,FALSE) &amp; AH71</f>
        <v>K132</v>
      </c>
      <c r="AH71" s="1174">
        <v>132</v>
      </c>
      <c r="AI71" s="1174">
        <v>11</v>
      </c>
    </row>
    <row r="72" spans="1:35" ht="30" customHeight="1">
      <c r="A72" s="385">
        <v>22</v>
      </c>
      <c r="B72" s="1970" t="str">
        <f>IF(元請調査票データ!C193="","",元請調査票データ!C193)</f>
        <v/>
      </c>
      <c r="C72" s="1970"/>
      <c r="D72" s="367" t="str">
        <f>IF(元請調査票データ!G193="","",元請調査票データ!G193)</f>
        <v/>
      </c>
      <c r="E72" s="367" t="str">
        <f>IF(元請調査票データ!H193="","",元請調査票データ!H193)</f>
        <v/>
      </c>
      <c r="F72" s="1967" t="str">
        <f t="shared" si="8"/>
        <v/>
      </c>
      <c r="G72" s="1968"/>
      <c r="H72" s="375" t="str">
        <f t="shared" si="9"/>
        <v/>
      </c>
      <c r="I72" s="368"/>
      <c r="J72" s="348"/>
      <c r="K72" s="315"/>
      <c r="L72" s="324"/>
      <c r="M72" s="583" t="s">
        <v>5446</v>
      </c>
      <c r="N72" s="584"/>
      <c r="O72" s="585" t="s">
        <v>5402</v>
      </c>
      <c r="P72" s="586">
        <f>元請調査票データ!H55</f>
        <v>0</v>
      </c>
      <c r="Q72" s="350"/>
      <c r="R72" s="450" t="str">
        <f t="shared" si="10"/>
        <v/>
      </c>
      <c r="Z72" s="199">
        <v>69</v>
      </c>
      <c r="AA72" s="709"/>
      <c r="AB72" s="1176" t="s">
        <v>1754</v>
      </c>
      <c r="AC72" s="1173" t="s">
        <v>1704</v>
      </c>
      <c r="AD72" s="1196">
        <v>108</v>
      </c>
      <c r="AE72" s="1174">
        <v>16</v>
      </c>
      <c r="AF72" s="1174" t="s">
        <v>1761</v>
      </c>
      <c r="AG72" s="1174" t="str">
        <f t="shared" si="11"/>
        <v>K133</v>
      </c>
      <c r="AH72" s="1174">
        <v>133</v>
      </c>
      <c r="AI72" s="1174">
        <v>11</v>
      </c>
    </row>
    <row r="73" spans="1:35" ht="30" customHeight="1">
      <c r="A73" s="385">
        <v>23</v>
      </c>
      <c r="B73" s="1970" t="str">
        <f>IF(元請調査票データ!C194="","",元請調査票データ!C194)</f>
        <v/>
      </c>
      <c r="C73" s="1970"/>
      <c r="D73" s="367" t="str">
        <f>IF(元請調査票データ!G194="","",元請調査票データ!G194)</f>
        <v/>
      </c>
      <c r="E73" s="367" t="str">
        <f>IF(元請調査票データ!H194="","",元請調査票データ!H194)</f>
        <v/>
      </c>
      <c r="F73" s="1967" t="str">
        <f t="shared" si="8"/>
        <v/>
      </c>
      <c r="G73" s="1968"/>
      <c r="H73" s="375" t="str">
        <f t="shared" si="9"/>
        <v/>
      </c>
      <c r="I73" s="368"/>
      <c r="J73" s="348"/>
      <c r="K73" s="315"/>
      <c r="L73" s="324"/>
      <c r="M73" s="583" t="s">
        <v>398</v>
      </c>
      <c r="N73" s="584"/>
      <c r="O73" s="585" t="s">
        <v>5402</v>
      </c>
      <c r="P73" s="586">
        <f>元請調査票データ!H56</f>
        <v>0</v>
      </c>
      <c r="Q73" s="350"/>
      <c r="R73" s="450" t="str">
        <f t="shared" si="10"/>
        <v/>
      </c>
      <c r="V73" s="231"/>
      <c r="Z73" s="199">
        <v>70</v>
      </c>
      <c r="AA73" s="1172"/>
      <c r="AB73" s="1176" t="s">
        <v>709</v>
      </c>
      <c r="AC73" s="1173" t="s">
        <v>1704</v>
      </c>
      <c r="AD73" s="1196">
        <v>109</v>
      </c>
      <c r="AE73" s="1174">
        <v>16</v>
      </c>
      <c r="AF73" s="1174" t="s">
        <v>1761</v>
      </c>
      <c r="AG73" s="1174" t="str">
        <f t="shared" si="11"/>
        <v>K139</v>
      </c>
      <c r="AH73" s="1174">
        <v>139</v>
      </c>
      <c r="AI73" s="1174">
        <v>11</v>
      </c>
    </row>
    <row r="74" spans="1:35" ht="30" customHeight="1">
      <c r="A74" s="385">
        <v>24</v>
      </c>
      <c r="B74" s="1970" t="str">
        <f>IF(元請調査票データ!C195="","",元請調査票データ!C195)</f>
        <v/>
      </c>
      <c r="C74" s="1970"/>
      <c r="D74" s="367" t="str">
        <f>IF(元請調査票データ!G195="","",元請調査票データ!G195)</f>
        <v/>
      </c>
      <c r="E74" s="367" t="str">
        <f>IF(元請調査票データ!H195="","",元請調査票データ!H195)</f>
        <v/>
      </c>
      <c r="F74" s="1967" t="str">
        <f t="shared" si="8"/>
        <v/>
      </c>
      <c r="G74" s="1968"/>
      <c r="H74" s="375" t="str">
        <f t="shared" si="9"/>
        <v/>
      </c>
      <c r="I74" s="368"/>
      <c r="J74" s="348"/>
      <c r="K74" s="326"/>
      <c r="L74" s="321"/>
      <c r="M74" s="322" t="s">
        <v>5447</v>
      </c>
      <c r="N74" s="323"/>
      <c r="O74" s="357" t="s">
        <v>5402</v>
      </c>
      <c r="P74" s="358">
        <f>元請調査票データ!H57</f>
        <v>0</v>
      </c>
      <c r="Q74" s="350"/>
      <c r="R74" s="450" t="str">
        <f t="shared" si="10"/>
        <v/>
      </c>
      <c r="Z74" s="199">
        <v>71</v>
      </c>
      <c r="AA74" s="1171" t="s">
        <v>708</v>
      </c>
      <c r="AB74" s="1177" t="s">
        <v>1755</v>
      </c>
      <c r="AC74" s="1173" t="s">
        <v>1704</v>
      </c>
      <c r="AD74" s="1174">
        <v>111</v>
      </c>
      <c r="AE74" s="1174">
        <v>15</v>
      </c>
      <c r="AF74" s="1174" t="s">
        <v>1761</v>
      </c>
      <c r="AG74" s="1174" t="str">
        <f t="shared" si="11"/>
        <v>K141</v>
      </c>
      <c r="AH74" s="1174">
        <v>141</v>
      </c>
      <c r="AI74" s="1174">
        <v>11</v>
      </c>
    </row>
    <row r="75" spans="1:35" ht="30" customHeight="1">
      <c r="A75" s="385">
        <v>25</v>
      </c>
      <c r="B75" s="1970" t="str">
        <f>IF(元請調査票データ!C196="","",元請調査票データ!C196)</f>
        <v/>
      </c>
      <c r="C75" s="1970"/>
      <c r="D75" s="367" t="str">
        <f>IF(元請調査票データ!G196="","",元請調査票データ!G196)</f>
        <v/>
      </c>
      <c r="E75" s="367" t="str">
        <f>IF(元請調査票データ!H196="","",元請調査票データ!H196)</f>
        <v/>
      </c>
      <c r="F75" s="1967" t="str">
        <f t="shared" si="8"/>
        <v/>
      </c>
      <c r="G75" s="1968"/>
      <c r="H75" s="375" t="str">
        <f t="shared" si="9"/>
        <v/>
      </c>
      <c r="I75" s="368"/>
      <c r="J75" s="348"/>
      <c r="K75" s="314" t="s">
        <v>52</v>
      </c>
      <c r="L75" s="15"/>
      <c r="M75" s="313"/>
      <c r="N75" s="227"/>
      <c r="O75" s="351">
        <f>SUM(O76:O77)</f>
        <v>0</v>
      </c>
      <c r="P75" s="352">
        <f>SUM(P76:P77)</f>
        <v>0</v>
      </c>
      <c r="Q75" s="350"/>
      <c r="R75" s="450" t="str">
        <f t="shared" si="10"/>
        <v/>
      </c>
      <c r="V75" s="231"/>
      <c r="Z75" s="199">
        <v>72</v>
      </c>
      <c r="AA75" s="709"/>
      <c r="AB75" s="1176" t="s">
        <v>1756</v>
      </c>
      <c r="AC75" s="1173" t="s">
        <v>1704</v>
      </c>
      <c r="AD75" s="1174">
        <v>112</v>
      </c>
      <c r="AE75" s="1174">
        <v>15</v>
      </c>
      <c r="AF75" s="1174" t="s">
        <v>1761</v>
      </c>
      <c r="AG75" s="1174" t="str">
        <f t="shared" si="11"/>
        <v>K144</v>
      </c>
      <c r="AH75" s="1174">
        <v>144</v>
      </c>
      <c r="AI75" s="1174">
        <v>11</v>
      </c>
    </row>
    <row r="76" spans="1:35" ht="30" customHeight="1">
      <c r="A76" s="385">
        <v>26</v>
      </c>
      <c r="B76" s="1970" t="str">
        <f>IF(元請調査票データ!C197="","",元請調査票データ!C197)</f>
        <v/>
      </c>
      <c r="C76" s="1970"/>
      <c r="D76" s="367" t="str">
        <f>IF(元請調査票データ!G197="","",元請調査票データ!G197)</f>
        <v/>
      </c>
      <c r="E76" s="367" t="str">
        <f>IF(元請調査票データ!H197="","",元請調査票データ!H197)</f>
        <v/>
      </c>
      <c r="F76" s="1967" t="str">
        <f t="shared" si="8"/>
        <v/>
      </c>
      <c r="G76" s="1968"/>
      <c r="H76" s="375" t="str">
        <f t="shared" si="9"/>
        <v/>
      </c>
      <c r="I76" s="368"/>
      <c r="J76" s="348"/>
      <c r="K76" s="315"/>
      <c r="L76" s="327" t="s">
        <v>53</v>
      </c>
      <c r="M76" s="50"/>
      <c r="N76" s="328"/>
      <c r="O76" s="353">
        <f>元請調査票データ!H59</f>
        <v>0</v>
      </c>
      <c r="P76" s="354" t="s">
        <v>252</v>
      </c>
      <c r="Q76" s="350"/>
      <c r="R76" s="450" t="str">
        <f t="shared" si="10"/>
        <v/>
      </c>
      <c r="Z76" s="199">
        <v>73</v>
      </c>
      <c r="AA76" s="709"/>
      <c r="AB76" s="1176" t="s">
        <v>1757</v>
      </c>
      <c r="AC76" s="1173" t="s">
        <v>1704</v>
      </c>
      <c r="AD76" s="1174">
        <v>113</v>
      </c>
      <c r="AE76" s="1174">
        <v>15</v>
      </c>
      <c r="AF76" s="1174" t="s">
        <v>1761</v>
      </c>
      <c r="AG76" s="1174" t="str">
        <f t="shared" si="11"/>
        <v>K147</v>
      </c>
      <c r="AH76" s="1174">
        <v>147</v>
      </c>
      <c r="AI76" s="1174">
        <v>11</v>
      </c>
    </row>
    <row r="77" spans="1:35" ht="30" customHeight="1">
      <c r="A77" s="385">
        <v>27</v>
      </c>
      <c r="B77" s="1970" t="str">
        <f>IF(元請調査票データ!C198="","",元請調査票データ!C198)</f>
        <v/>
      </c>
      <c r="C77" s="1970"/>
      <c r="D77" s="367" t="str">
        <f>IF(元請調査票データ!G198="","",元請調査票データ!G198)</f>
        <v/>
      </c>
      <c r="E77" s="367" t="str">
        <f>IF(元請調査票データ!H198="","",元請調査票データ!H198)</f>
        <v/>
      </c>
      <c r="F77" s="1967" t="str">
        <f t="shared" si="8"/>
        <v/>
      </c>
      <c r="G77" s="1968"/>
      <c r="H77" s="375" t="str">
        <f t="shared" si="9"/>
        <v/>
      </c>
      <c r="I77" s="368"/>
      <c r="J77" s="348"/>
      <c r="K77" s="326"/>
      <c r="L77" s="329" t="s">
        <v>748</v>
      </c>
      <c r="M77" s="330"/>
      <c r="N77" s="331"/>
      <c r="O77" s="359" t="s">
        <v>252</v>
      </c>
      <c r="P77" s="391">
        <f>元請調査票データ!H60</f>
        <v>0</v>
      </c>
      <c r="Q77" s="350"/>
      <c r="R77" s="450" t="str">
        <f t="shared" si="10"/>
        <v/>
      </c>
      <c r="Z77" s="199">
        <v>74</v>
      </c>
      <c r="AA77" s="709"/>
      <c r="AB77" s="1176" t="s">
        <v>308</v>
      </c>
      <c r="AC77" s="1173" t="s">
        <v>1704</v>
      </c>
      <c r="AD77" s="1174">
        <v>114</v>
      </c>
      <c r="AE77" s="1174">
        <v>15</v>
      </c>
      <c r="AF77" s="1174" t="s">
        <v>1761</v>
      </c>
      <c r="AG77" s="1174" t="str">
        <f t="shared" si="11"/>
        <v>K148</v>
      </c>
      <c r="AH77" s="1174">
        <v>148</v>
      </c>
      <c r="AI77" s="1174">
        <v>11</v>
      </c>
    </row>
    <row r="78" spans="1:35" ht="30" customHeight="1">
      <c r="A78" s="385">
        <v>28</v>
      </c>
      <c r="B78" s="1970" t="str">
        <f>IF(元請調査票データ!C199="","",元請調査票データ!C199)</f>
        <v/>
      </c>
      <c r="C78" s="1970"/>
      <c r="D78" s="367" t="str">
        <f>IF(元請調査票データ!G199="","",元請調査票データ!G199)</f>
        <v/>
      </c>
      <c r="E78" s="367" t="str">
        <f>IF(元請調査票データ!H199="","",元請調査票データ!H199)</f>
        <v/>
      </c>
      <c r="F78" s="1967" t="str">
        <f t="shared" si="8"/>
        <v/>
      </c>
      <c r="G78" s="1968"/>
      <c r="H78" s="375" t="str">
        <f t="shared" si="9"/>
        <v/>
      </c>
      <c r="I78" s="368"/>
      <c r="J78" s="348"/>
      <c r="K78" s="332" t="s">
        <v>54</v>
      </c>
      <c r="L78" s="15"/>
      <c r="M78" s="313"/>
      <c r="N78" s="227"/>
      <c r="O78" s="351" t="s">
        <v>252</v>
      </c>
      <c r="P78" s="352">
        <f>元請調査票データ!H61</f>
        <v>0</v>
      </c>
      <c r="Q78" s="350"/>
      <c r="R78" s="450" t="str">
        <f t="shared" si="10"/>
        <v/>
      </c>
      <c r="U78" s="231"/>
      <c r="Z78" s="199">
        <v>75</v>
      </c>
      <c r="AA78" s="709"/>
      <c r="AB78" s="1176" t="s">
        <v>1758</v>
      </c>
      <c r="AC78" s="1173" t="s">
        <v>1704</v>
      </c>
      <c r="AD78" s="1174">
        <v>115</v>
      </c>
      <c r="AE78" s="1174">
        <v>16</v>
      </c>
      <c r="AF78" s="1174" t="s">
        <v>1761</v>
      </c>
      <c r="AG78" s="1174" t="str">
        <f t="shared" si="11"/>
        <v>K149</v>
      </c>
      <c r="AH78" s="1174">
        <v>149</v>
      </c>
      <c r="AI78" s="1174">
        <v>11</v>
      </c>
    </row>
    <row r="79" spans="1:35" ht="30" customHeight="1">
      <c r="A79" s="385">
        <v>29</v>
      </c>
      <c r="B79" s="1970" t="str">
        <f>IF(元請調査票データ!C200="","",元請調査票データ!C200)</f>
        <v/>
      </c>
      <c r="C79" s="1970"/>
      <c r="D79" s="367" t="str">
        <f>IF(元請調査票データ!G200="","",元請調査票データ!G200)</f>
        <v/>
      </c>
      <c r="E79" s="367" t="str">
        <f>IF(元請調査票データ!H200="","",元請調査票データ!H200)</f>
        <v/>
      </c>
      <c r="F79" s="1967" t="str">
        <f t="shared" si="8"/>
        <v/>
      </c>
      <c r="G79" s="1968"/>
      <c r="H79" s="375" t="str">
        <f t="shared" si="9"/>
        <v/>
      </c>
      <c r="I79" s="368"/>
      <c r="J79" s="348"/>
      <c r="K79" s="314" t="s">
        <v>55</v>
      </c>
      <c r="L79" s="15"/>
      <c r="M79" s="313"/>
      <c r="N79" s="227"/>
      <c r="O79" s="351">
        <f>SUM(O80,O92:O97)</f>
        <v>0</v>
      </c>
      <c r="P79" s="352">
        <f>SUM(P80,P92:P97)</f>
        <v>0</v>
      </c>
      <c r="Q79" s="350"/>
      <c r="R79" s="450" t="str">
        <f t="shared" si="10"/>
        <v/>
      </c>
      <c r="Z79" s="199">
        <v>76</v>
      </c>
      <c r="AA79" s="709"/>
      <c r="AB79" s="1176" t="s">
        <v>1628</v>
      </c>
      <c r="AC79" s="1173" t="s">
        <v>1704</v>
      </c>
      <c r="AD79" s="1174">
        <v>116</v>
      </c>
      <c r="AE79" s="1174">
        <v>16</v>
      </c>
      <c r="AF79" s="1174" t="s">
        <v>1761</v>
      </c>
      <c r="AG79" s="1174" t="str">
        <f t="shared" si="11"/>
        <v>K150</v>
      </c>
      <c r="AH79" s="1174">
        <v>150</v>
      </c>
      <c r="AI79" s="1174">
        <v>11</v>
      </c>
    </row>
    <row r="80" spans="1:35" ht="30" customHeight="1">
      <c r="A80" s="385">
        <v>30</v>
      </c>
      <c r="B80" s="1970" t="str">
        <f>IF(元請調査票データ!C201="","",元請調査票データ!C201)</f>
        <v/>
      </c>
      <c r="C80" s="1970"/>
      <c r="D80" s="367" t="str">
        <f>IF(元請調査票データ!G201="","",元請調査票データ!G201)</f>
        <v/>
      </c>
      <c r="E80" s="367" t="str">
        <f>IF(元請調査票データ!H201="","",元請調査票データ!H201)</f>
        <v/>
      </c>
      <c r="F80" s="1967" t="str">
        <f t="shared" si="8"/>
        <v/>
      </c>
      <c r="G80" s="1968"/>
      <c r="H80" s="375" t="str">
        <f t="shared" si="9"/>
        <v/>
      </c>
      <c r="I80" s="368"/>
      <c r="J80" s="348"/>
      <c r="K80" s="333"/>
      <c r="L80" s="316" t="s">
        <v>56</v>
      </c>
      <c r="M80" s="15"/>
      <c r="N80" s="227"/>
      <c r="O80" s="351">
        <f>SUM(O81:O91)</f>
        <v>0</v>
      </c>
      <c r="P80" s="352">
        <f>SUM(P81:P91)</f>
        <v>0</v>
      </c>
      <c r="Q80" s="350"/>
      <c r="R80" s="450" t="str">
        <f t="shared" si="10"/>
        <v/>
      </c>
      <c r="V80" s="231"/>
      <c r="Z80" s="199">
        <v>77</v>
      </c>
      <c r="AA80" s="1172"/>
      <c r="AB80" s="1175" t="s">
        <v>30</v>
      </c>
      <c r="AC80" s="1173" t="s">
        <v>1704</v>
      </c>
      <c r="AD80" s="1174">
        <v>117</v>
      </c>
      <c r="AE80" s="1174">
        <v>16</v>
      </c>
      <c r="AF80" s="1174" t="s">
        <v>1761</v>
      </c>
      <c r="AG80" s="1174" t="str">
        <f t="shared" si="11"/>
        <v>K152</v>
      </c>
      <c r="AH80" s="1174">
        <v>152</v>
      </c>
      <c r="AI80" s="1174">
        <v>11</v>
      </c>
    </row>
    <row r="81" spans="1:35" ht="30" customHeight="1">
      <c r="A81" s="385">
        <v>31</v>
      </c>
      <c r="B81" s="1970" t="str">
        <f>IF(元請調査票データ!C202="","",元請調査票データ!C202)</f>
        <v/>
      </c>
      <c r="C81" s="1970"/>
      <c r="D81" s="367" t="str">
        <f>IF(元請調査票データ!G202="","",元請調査票データ!G202)</f>
        <v/>
      </c>
      <c r="E81" s="367" t="str">
        <f>IF(元請調査票データ!H202="","",元請調査票データ!H202)</f>
        <v/>
      </c>
      <c r="F81" s="1967" t="str">
        <f t="shared" si="8"/>
        <v/>
      </c>
      <c r="G81" s="1968"/>
      <c r="H81" s="375" t="str">
        <f t="shared" si="9"/>
        <v/>
      </c>
      <c r="I81" s="368"/>
      <c r="J81" s="348"/>
      <c r="K81" s="333"/>
      <c r="L81" s="334"/>
      <c r="M81" s="327" t="s">
        <v>611</v>
      </c>
      <c r="N81" s="318"/>
      <c r="O81" s="353">
        <f>元請調査票データ!H65</f>
        <v>0</v>
      </c>
      <c r="P81" s="354" t="s">
        <v>252</v>
      </c>
      <c r="Q81" s="350"/>
      <c r="R81" s="450" t="str">
        <f t="shared" si="10"/>
        <v/>
      </c>
      <c r="Z81" s="199">
        <v>78</v>
      </c>
      <c r="AA81" s="1171" t="s">
        <v>1759</v>
      </c>
      <c r="AB81" s="1176" t="s">
        <v>309</v>
      </c>
      <c r="AC81" s="1173" t="s">
        <v>1704</v>
      </c>
      <c r="AD81" s="1174">
        <v>119</v>
      </c>
      <c r="AE81" s="1174">
        <v>15</v>
      </c>
      <c r="AF81" s="1174" t="s">
        <v>1761</v>
      </c>
      <c r="AG81" s="1174" t="str">
        <f t="shared" si="11"/>
        <v>K154</v>
      </c>
      <c r="AH81" s="1174">
        <v>154</v>
      </c>
      <c r="AI81" s="1174">
        <v>11</v>
      </c>
    </row>
    <row r="82" spans="1:35" ht="30" customHeight="1">
      <c r="A82" s="385">
        <v>32</v>
      </c>
      <c r="B82" s="1970" t="str">
        <f>IF(元請調査票データ!C203="","",元請調査票データ!C203)</f>
        <v/>
      </c>
      <c r="C82" s="1970"/>
      <c r="D82" s="367" t="str">
        <f>IF(元請調査票データ!G203="","",元請調査票データ!G203)</f>
        <v/>
      </c>
      <c r="E82" s="367" t="str">
        <f>IF(元請調査票データ!H203="","",元請調査票データ!H203)</f>
        <v/>
      </c>
      <c r="F82" s="1967" t="str">
        <f t="shared" si="8"/>
        <v/>
      </c>
      <c r="G82" s="1968"/>
      <c r="H82" s="375" t="str">
        <f t="shared" si="9"/>
        <v/>
      </c>
      <c r="I82" s="368"/>
      <c r="J82" s="348"/>
      <c r="K82" s="333"/>
      <c r="L82" s="334"/>
      <c r="M82" s="319" t="s">
        <v>612</v>
      </c>
      <c r="N82" s="320"/>
      <c r="O82" s="355">
        <f>元請調査票データ!H66</f>
        <v>0</v>
      </c>
      <c r="P82" s="356" t="s">
        <v>252</v>
      </c>
      <c r="Q82" s="350"/>
      <c r="R82" s="450" t="str">
        <f t="shared" si="10"/>
        <v/>
      </c>
      <c r="Z82" s="199">
        <v>79</v>
      </c>
      <c r="AA82" s="709"/>
      <c r="AB82" s="1176" t="s">
        <v>310</v>
      </c>
      <c r="AC82" s="1173" t="s">
        <v>1704</v>
      </c>
      <c r="AD82" s="1174">
        <v>120</v>
      </c>
      <c r="AE82" s="1174">
        <v>15</v>
      </c>
      <c r="AF82" s="1174" t="s">
        <v>1761</v>
      </c>
      <c r="AG82" s="1174" t="str">
        <f t="shared" si="11"/>
        <v>K155</v>
      </c>
      <c r="AH82" s="1174">
        <v>155</v>
      </c>
      <c r="AI82" s="1174">
        <v>11</v>
      </c>
    </row>
    <row r="83" spans="1:35" ht="30" customHeight="1">
      <c r="A83" s="385">
        <v>33</v>
      </c>
      <c r="B83" s="1970" t="str">
        <f>IF(元請調査票データ!C204="","",元請調査票データ!C204)</f>
        <v/>
      </c>
      <c r="C83" s="1970"/>
      <c r="D83" s="367" t="str">
        <f>IF(元請調査票データ!G204="","",元請調査票データ!G204)</f>
        <v/>
      </c>
      <c r="E83" s="367" t="str">
        <f>IF(元請調査票データ!H204="","",元請調査票データ!H204)</f>
        <v/>
      </c>
      <c r="F83" s="1967" t="str">
        <f t="shared" si="8"/>
        <v/>
      </c>
      <c r="G83" s="1968"/>
      <c r="H83" s="375" t="str">
        <f t="shared" si="9"/>
        <v/>
      </c>
      <c r="I83" s="368"/>
      <c r="J83" s="348"/>
      <c r="K83" s="333"/>
      <c r="L83" s="334"/>
      <c r="M83" s="319" t="s">
        <v>614</v>
      </c>
      <c r="N83" s="320"/>
      <c r="O83" s="355">
        <f>元請調査票データ!H67</f>
        <v>0</v>
      </c>
      <c r="P83" s="356" t="s">
        <v>252</v>
      </c>
      <c r="Q83" s="350"/>
      <c r="R83" s="450" t="str">
        <f t="shared" si="10"/>
        <v/>
      </c>
      <c r="V83" s="231"/>
      <c r="Z83" s="199">
        <v>80</v>
      </c>
      <c r="AA83" s="709"/>
      <c r="AB83" s="1176" t="s">
        <v>311</v>
      </c>
      <c r="AC83" s="1173" t="s">
        <v>1704</v>
      </c>
      <c r="AD83" s="1174">
        <v>121</v>
      </c>
      <c r="AE83" s="1174">
        <v>15</v>
      </c>
      <c r="AF83" s="1174" t="s">
        <v>1761</v>
      </c>
      <c r="AG83" s="1174" t="str">
        <f t="shared" si="11"/>
        <v>K156</v>
      </c>
      <c r="AH83" s="1174">
        <v>156</v>
      </c>
      <c r="AI83" s="1174">
        <v>11</v>
      </c>
    </row>
    <row r="84" spans="1:35" ht="30" customHeight="1">
      <c r="A84" s="385">
        <v>34</v>
      </c>
      <c r="B84" s="1970" t="str">
        <f>IF(元請調査票データ!C205="","",元請調査票データ!C205)</f>
        <v/>
      </c>
      <c r="C84" s="1970"/>
      <c r="D84" s="367" t="str">
        <f>IF(元請調査票データ!G205="","",元請調査票データ!G205)</f>
        <v/>
      </c>
      <c r="E84" s="367" t="str">
        <f>IF(元請調査票データ!H205="","",元請調査票データ!H205)</f>
        <v/>
      </c>
      <c r="F84" s="1967" t="str">
        <f t="shared" si="8"/>
        <v/>
      </c>
      <c r="G84" s="1968"/>
      <c r="H84" s="375" t="str">
        <f t="shared" si="9"/>
        <v/>
      </c>
      <c r="I84" s="368"/>
      <c r="J84" s="348"/>
      <c r="K84" s="333"/>
      <c r="L84" s="334"/>
      <c r="M84" s="319" t="s">
        <v>615</v>
      </c>
      <c r="N84" s="320"/>
      <c r="O84" s="355" t="s">
        <v>1070</v>
      </c>
      <c r="P84" s="356">
        <f>元請調査票データ!H68</f>
        <v>0</v>
      </c>
      <c r="Q84" s="350"/>
      <c r="R84" s="450" t="str">
        <f t="shared" si="10"/>
        <v/>
      </c>
      <c r="V84" s="231"/>
      <c r="Z84" s="199">
        <v>81</v>
      </c>
      <c r="AA84" s="709"/>
      <c r="AB84" s="1176" t="s">
        <v>1760</v>
      </c>
      <c r="AC84" s="1173" t="s">
        <v>1704</v>
      </c>
      <c r="AD84" s="1174">
        <v>122</v>
      </c>
      <c r="AE84" s="1174">
        <v>15</v>
      </c>
      <c r="AF84" s="1174" t="s">
        <v>1761</v>
      </c>
      <c r="AG84" s="1174" t="str">
        <f t="shared" si="11"/>
        <v>K157</v>
      </c>
      <c r="AH84" s="1174">
        <v>157</v>
      </c>
      <c r="AI84" s="1174">
        <v>11</v>
      </c>
    </row>
    <row r="85" spans="1:35" ht="30" customHeight="1">
      <c r="A85" s="385">
        <v>35</v>
      </c>
      <c r="B85" s="1970" t="str">
        <f>IF(元請調査票データ!C206="","",元請調査票データ!C206)</f>
        <v/>
      </c>
      <c r="C85" s="1970"/>
      <c r="D85" s="367" t="str">
        <f>IF(元請調査票データ!G206="","",元請調査票データ!G206)</f>
        <v/>
      </c>
      <c r="E85" s="367" t="str">
        <f>IF(元請調査票データ!H206="","",元請調査票データ!H206)</f>
        <v/>
      </c>
      <c r="F85" s="1967" t="str">
        <f t="shared" si="8"/>
        <v/>
      </c>
      <c r="G85" s="1968"/>
      <c r="H85" s="375" t="str">
        <f t="shared" si="9"/>
        <v/>
      </c>
      <c r="I85" s="368"/>
      <c r="J85" s="348"/>
      <c r="K85" s="333"/>
      <c r="L85" s="334"/>
      <c r="M85" s="319" t="s">
        <v>616</v>
      </c>
      <c r="N85" s="320"/>
      <c r="O85" s="355">
        <f>元請調査票データ!H69</f>
        <v>0</v>
      </c>
      <c r="P85" s="356" t="s">
        <v>252</v>
      </c>
      <c r="Q85" s="350"/>
      <c r="R85" s="450" t="str">
        <f t="shared" si="10"/>
        <v/>
      </c>
      <c r="V85" s="231"/>
      <c r="Z85" s="199">
        <v>82</v>
      </c>
      <c r="AA85" s="1172"/>
      <c r="AB85" s="1176" t="s">
        <v>30</v>
      </c>
      <c r="AC85" s="1173" t="s">
        <v>1704</v>
      </c>
      <c r="AD85" s="1174">
        <v>123</v>
      </c>
      <c r="AE85" s="1174">
        <v>16</v>
      </c>
      <c r="AF85" s="1174" t="s">
        <v>1761</v>
      </c>
      <c r="AG85" s="1174" t="str">
        <f t="shared" si="11"/>
        <v>K163</v>
      </c>
      <c r="AH85" s="1174">
        <v>163</v>
      </c>
      <c r="AI85" s="1174">
        <v>11</v>
      </c>
    </row>
    <row r="86" spans="1:35" ht="30" customHeight="1">
      <c r="A86" s="385">
        <v>36</v>
      </c>
      <c r="B86" s="1970" t="str">
        <f>IF(元請調査票データ!C207="","",元請調査票データ!C207)</f>
        <v/>
      </c>
      <c r="C86" s="1970"/>
      <c r="D86" s="367" t="str">
        <f>IF(元請調査票データ!G207="","",元請調査票データ!G207)</f>
        <v/>
      </c>
      <c r="E86" s="367" t="str">
        <f>IF(元請調査票データ!H207="","",元請調査票データ!H207)</f>
        <v/>
      </c>
      <c r="F86" s="1967" t="str">
        <f t="shared" si="8"/>
        <v/>
      </c>
      <c r="G86" s="1968"/>
      <c r="H86" s="375" t="str">
        <f t="shared" si="9"/>
        <v/>
      </c>
      <c r="I86" s="368"/>
      <c r="J86" s="348"/>
      <c r="K86" s="333"/>
      <c r="L86" s="334"/>
      <c r="M86" s="1685" t="s">
        <v>1071</v>
      </c>
      <c r="N86" s="853"/>
      <c r="O86" s="355">
        <f>元請調査票データ!H70</f>
        <v>0</v>
      </c>
      <c r="P86" s="854" t="s">
        <v>252</v>
      </c>
      <c r="Q86" s="350"/>
      <c r="R86" s="450" t="str">
        <f t="shared" si="10"/>
        <v/>
      </c>
      <c r="V86" s="231"/>
      <c r="Z86" s="199">
        <v>83</v>
      </c>
      <c r="AA86" s="204" t="s">
        <v>312</v>
      </c>
      <c r="AB86" s="205"/>
      <c r="AC86" s="1173" t="s">
        <v>1704</v>
      </c>
      <c r="AD86" s="1174">
        <v>124</v>
      </c>
      <c r="AE86" s="1174">
        <v>16</v>
      </c>
      <c r="AF86" s="1174" t="s">
        <v>1761</v>
      </c>
      <c r="AG86" s="1174" t="str">
        <f t="shared" si="11"/>
        <v>K164</v>
      </c>
      <c r="AH86" s="1174">
        <v>164</v>
      </c>
      <c r="AI86" s="1174">
        <v>11</v>
      </c>
    </row>
    <row r="87" spans="1:35" ht="30" customHeight="1">
      <c r="A87" s="385">
        <v>37</v>
      </c>
      <c r="B87" s="1970" t="str">
        <f>IF(元請調査票データ!C208="","",元請調査票データ!C208)</f>
        <v/>
      </c>
      <c r="C87" s="1970"/>
      <c r="D87" s="367" t="str">
        <f>IF(元請調査票データ!G208="","",元請調査票データ!G208)</f>
        <v/>
      </c>
      <c r="E87" s="367" t="str">
        <f>IF(元請調査票データ!H208="","",元請調査票データ!H208)</f>
        <v/>
      </c>
      <c r="F87" s="1967" t="str">
        <f t="shared" si="8"/>
        <v/>
      </c>
      <c r="G87" s="1968"/>
      <c r="H87" s="375" t="str">
        <f t="shared" si="9"/>
        <v/>
      </c>
      <c r="I87" s="398"/>
      <c r="J87" s="348"/>
      <c r="K87" s="333"/>
      <c r="L87" s="334"/>
      <c r="M87" s="319" t="s">
        <v>5439</v>
      </c>
      <c r="N87" s="320"/>
      <c r="O87" s="355">
        <f>元請調査票データ!H71</f>
        <v>0</v>
      </c>
      <c r="P87" s="356" t="s">
        <v>252</v>
      </c>
      <c r="Q87" s="350"/>
      <c r="R87" s="450" t="str">
        <f t="shared" si="10"/>
        <v/>
      </c>
      <c r="V87" s="231"/>
      <c r="Z87" s="199">
        <v>84</v>
      </c>
      <c r="AA87" s="204" t="s">
        <v>1747</v>
      </c>
      <c r="AB87" s="205"/>
      <c r="AC87" s="1173" t="s">
        <v>1704</v>
      </c>
      <c r="AD87" s="1174">
        <v>127</v>
      </c>
      <c r="AE87" s="1174">
        <v>16</v>
      </c>
      <c r="AF87" s="1174" t="s">
        <v>1761</v>
      </c>
      <c r="AG87" s="1174" t="str">
        <f t="shared" si="11"/>
        <v>K172</v>
      </c>
      <c r="AH87" s="1174">
        <v>172</v>
      </c>
      <c r="AI87" s="1174">
        <v>11</v>
      </c>
    </row>
    <row r="88" spans="1:35" ht="30" customHeight="1">
      <c r="A88" s="385">
        <v>38</v>
      </c>
      <c r="B88" s="1970" t="str">
        <f>IF(元請調査票データ!C209="","",元請調査票データ!C209)</f>
        <v/>
      </c>
      <c r="C88" s="1970"/>
      <c r="D88" s="367" t="str">
        <f>IF(元請調査票データ!G209="","",元請調査票データ!G209)</f>
        <v/>
      </c>
      <c r="E88" s="367" t="str">
        <f>IF(元請調査票データ!H209="","",元請調査票データ!H209)</f>
        <v/>
      </c>
      <c r="F88" s="1967" t="str">
        <f t="shared" si="8"/>
        <v/>
      </c>
      <c r="G88" s="1968"/>
      <c r="H88" s="375" t="str">
        <f t="shared" si="9"/>
        <v/>
      </c>
      <c r="I88" s="398"/>
      <c r="J88" s="348"/>
      <c r="K88" s="333"/>
      <c r="L88" s="334"/>
      <c r="M88" s="1685" t="s">
        <v>5441</v>
      </c>
      <c r="N88" s="853"/>
      <c r="O88" s="355">
        <f>元請調査票データ!H72</f>
        <v>0</v>
      </c>
      <c r="P88" s="854" t="s">
        <v>252</v>
      </c>
      <c r="Q88" s="350"/>
      <c r="R88" s="450" t="str">
        <f t="shared" si="10"/>
        <v/>
      </c>
      <c r="V88" s="231"/>
    </row>
    <row r="89" spans="1:35" ht="30" customHeight="1">
      <c r="A89" s="385">
        <v>39</v>
      </c>
      <c r="B89" s="1970" t="str">
        <f>IF(元請調査票データ!C210="","",元請調査票データ!C210)</f>
        <v/>
      </c>
      <c r="C89" s="1970"/>
      <c r="D89" s="367" t="str">
        <f>IF(元請調査票データ!G210="","",元請調査票データ!G210)</f>
        <v/>
      </c>
      <c r="E89" s="367" t="str">
        <f>IF(元請調査票データ!H210="","",元請調査票データ!H210)</f>
        <v/>
      </c>
      <c r="F89" s="1967" t="str">
        <f t="shared" si="8"/>
        <v/>
      </c>
      <c r="G89" s="1968"/>
      <c r="H89" s="375" t="str">
        <f t="shared" si="9"/>
        <v/>
      </c>
      <c r="I89" s="368"/>
      <c r="J89" s="348"/>
      <c r="K89" s="333"/>
      <c r="L89" s="334"/>
      <c r="M89" s="319"/>
      <c r="N89" s="320"/>
      <c r="O89" s="355"/>
      <c r="P89" s="356"/>
      <c r="Q89" s="350"/>
      <c r="R89" s="450" t="str">
        <f t="shared" si="10"/>
        <v/>
      </c>
      <c r="V89" s="231"/>
    </row>
    <row r="90" spans="1:35" ht="30" customHeight="1">
      <c r="A90" s="385">
        <v>40</v>
      </c>
      <c r="B90" s="1970" t="str">
        <f>IF(元請調査票データ!C211="","",元請調査票データ!C211)</f>
        <v/>
      </c>
      <c r="C90" s="1970"/>
      <c r="D90" s="367" t="str">
        <f>IF(元請調査票データ!G211="","",元請調査票データ!G211)</f>
        <v/>
      </c>
      <c r="E90" s="367" t="str">
        <f>IF(元請調査票データ!H211="","",元請調査票データ!H211)</f>
        <v/>
      </c>
      <c r="F90" s="1967" t="str">
        <f t="shared" si="8"/>
        <v/>
      </c>
      <c r="G90" s="1968"/>
      <c r="H90" s="375" t="str">
        <f t="shared" si="9"/>
        <v/>
      </c>
      <c r="I90" s="368"/>
      <c r="J90" s="348"/>
      <c r="K90" s="333"/>
      <c r="L90" s="334"/>
      <c r="M90" s="319" t="s">
        <v>1792</v>
      </c>
      <c r="N90" s="320"/>
      <c r="O90" s="355">
        <f>元請調査票データ!H73</f>
        <v>0</v>
      </c>
      <c r="P90" s="356" t="s">
        <v>252</v>
      </c>
      <c r="Q90" s="350"/>
      <c r="R90" s="450" t="str">
        <f t="shared" si="10"/>
        <v/>
      </c>
    </row>
    <row r="91" spans="1:35" ht="30" customHeight="1">
      <c r="A91" s="385">
        <v>41</v>
      </c>
      <c r="B91" s="1970" t="str">
        <f>IF(元請調査票データ!C212="","",元請調査票データ!C212)</f>
        <v/>
      </c>
      <c r="C91" s="1970"/>
      <c r="D91" s="367" t="str">
        <f>IF(元請調査票データ!G212="","",元請調査票データ!G212)</f>
        <v/>
      </c>
      <c r="E91" s="367" t="str">
        <f>IF(元請調査票データ!H212="","",元請調査票データ!H212)</f>
        <v/>
      </c>
      <c r="F91" s="1967" t="str">
        <f t="shared" si="8"/>
        <v/>
      </c>
      <c r="G91" s="1968"/>
      <c r="H91" s="375" t="str">
        <f t="shared" si="9"/>
        <v/>
      </c>
      <c r="I91" s="368"/>
      <c r="J91" s="348"/>
      <c r="K91" s="333"/>
      <c r="L91" s="572"/>
      <c r="M91" s="322" t="s">
        <v>1793</v>
      </c>
      <c r="N91" s="323"/>
      <c r="O91" s="357">
        <f>元請調査票データ!H74</f>
        <v>0</v>
      </c>
      <c r="P91" s="358" t="s">
        <v>5402</v>
      </c>
      <c r="Q91" s="350"/>
      <c r="R91" s="450" t="str">
        <f t="shared" si="10"/>
        <v/>
      </c>
    </row>
    <row r="92" spans="1:35" ht="30" customHeight="1">
      <c r="A92" s="385">
        <v>42</v>
      </c>
      <c r="B92" s="1970" t="str">
        <f>IF(元請調査票データ!C213="","",元請調査票データ!C213)</f>
        <v/>
      </c>
      <c r="C92" s="1970"/>
      <c r="D92" s="367" t="str">
        <f>IF(元請調査票データ!G213="","",元請調査票データ!G213)</f>
        <v/>
      </c>
      <c r="E92" s="367" t="str">
        <f>IF(元請調査票データ!H213="","",元請調査票データ!H213)</f>
        <v/>
      </c>
      <c r="F92" s="1967" t="str">
        <f t="shared" si="8"/>
        <v/>
      </c>
      <c r="G92" s="1968"/>
      <c r="H92" s="375" t="str">
        <f t="shared" si="9"/>
        <v/>
      </c>
      <c r="I92" s="368"/>
      <c r="J92" s="348"/>
      <c r="K92" s="315"/>
      <c r="L92" s="313" t="s">
        <v>617</v>
      </c>
      <c r="M92" s="15"/>
      <c r="N92" s="227"/>
      <c r="O92" s="351" t="s">
        <v>252</v>
      </c>
      <c r="P92" s="352">
        <f>元請調査票データ!H75</f>
        <v>0</v>
      </c>
      <c r="Q92" s="350"/>
      <c r="R92" s="450" t="str">
        <f t="shared" si="10"/>
        <v/>
      </c>
    </row>
    <row r="93" spans="1:35" ht="30" customHeight="1">
      <c r="A93" s="385">
        <v>43</v>
      </c>
      <c r="B93" s="1970" t="str">
        <f>IF(元請調査票データ!C214="","",元請調査票データ!C214)</f>
        <v/>
      </c>
      <c r="C93" s="1970"/>
      <c r="D93" s="367" t="str">
        <f>IF(元請調査票データ!G214="","",元請調査票データ!G214)</f>
        <v/>
      </c>
      <c r="E93" s="367" t="str">
        <f>IF(元請調査票データ!H214="","",元請調査票データ!H214)</f>
        <v/>
      </c>
      <c r="F93" s="1967" t="str">
        <f t="shared" si="8"/>
        <v/>
      </c>
      <c r="G93" s="1968"/>
      <c r="H93" s="375" t="str">
        <f t="shared" si="9"/>
        <v/>
      </c>
      <c r="I93" s="368"/>
      <c r="J93" s="348"/>
      <c r="K93" s="315"/>
      <c r="L93" s="313" t="s">
        <v>1627</v>
      </c>
      <c r="M93" s="15"/>
      <c r="N93" s="227"/>
      <c r="O93" s="351" t="s">
        <v>252</v>
      </c>
      <c r="P93" s="352">
        <f>元請調査票データ!H76</f>
        <v>0</v>
      </c>
      <c r="Q93" s="350"/>
      <c r="R93" s="450" t="str">
        <f t="shared" si="10"/>
        <v/>
      </c>
    </row>
    <row r="94" spans="1:35" ht="30" customHeight="1">
      <c r="A94" s="385">
        <v>44</v>
      </c>
      <c r="B94" s="1970" t="str">
        <f>IF(元請調査票データ!C215="","",元請調査票データ!C215)</f>
        <v/>
      </c>
      <c r="C94" s="1970"/>
      <c r="D94" s="367" t="str">
        <f>IF(元請調査票データ!G215="","",元請調査票データ!G215)</f>
        <v/>
      </c>
      <c r="E94" s="367" t="str">
        <f>IF(元請調査票データ!H215="","",元請調査票データ!H215)</f>
        <v/>
      </c>
      <c r="F94" s="1967" t="str">
        <f t="shared" si="8"/>
        <v/>
      </c>
      <c r="G94" s="1968"/>
      <c r="H94" s="375" t="str">
        <f t="shared" si="9"/>
        <v/>
      </c>
      <c r="I94" s="368"/>
      <c r="J94" s="348"/>
      <c r="K94" s="315"/>
      <c r="L94" s="1686" t="s">
        <v>5442</v>
      </c>
      <c r="M94" s="830"/>
      <c r="N94" s="831"/>
      <c r="O94" s="351" t="s">
        <v>37</v>
      </c>
      <c r="P94" s="352">
        <f>元請調査票データ!H77</f>
        <v>0</v>
      </c>
      <c r="Q94" s="350"/>
      <c r="R94" s="450" t="str">
        <f t="shared" si="10"/>
        <v/>
      </c>
    </row>
    <row r="95" spans="1:35" ht="30" customHeight="1">
      <c r="A95" s="385">
        <v>45</v>
      </c>
      <c r="B95" s="1970" t="str">
        <f>IF(元請調査票データ!C216="","",元請調査票データ!C216)</f>
        <v/>
      </c>
      <c r="C95" s="1970"/>
      <c r="D95" s="367" t="str">
        <f>IF(元請調査票データ!G216="","",元請調査票データ!G216)</f>
        <v/>
      </c>
      <c r="E95" s="367" t="str">
        <f>IF(元請調査票データ!H216="","",元請調査票データ!H216)</f>
        <v/>
      </c>
      <c r="F95" s="1967" t="str">
        <f t="shared" si="8"/>
        <v/>
      </c>
      <c r="G95" s="1968"/>
      <c r="H95" s="375" t="str">
        <f t="shared" si="9"/>
        <v/>
      </c>
      <c r="I95" s="368"/>
      <c r="J95" s="348"/>
      <c r="K95" s="315"/>
      <c r="L95" s="829" t="s">
        <v>618</v>
      </c>
      <c r="M95" s="830"/>
      <c r="N95" s="831"/>
      <c r="O95" s="832" t="s">
        <v>252</v>
      </c>
      <c r="P95" s="836"/>
      <c r="Q95" s="350"/>
      <c r="R95" s="450" t="str">
        <f t="shared" si="10"/>
        <v/>
      </c>
    </row>
    <row r="96" spans="1:35" ht="30" customHeight="1">
      <c r="A96" s="385">
        <v>46</v>
      </c>
      <c r="B96" s="1970" t="str">
        <f>IF(元請調査票データ!C217="","",元請調査票データ!C217)</f>
        <v/>
      </c>
      <c r="C96" s="1970"/>
      <c r="D96" s="367" t="str">
        <f>IF(元請調査票データ!G217="","",元請調査票データ!G217)</f>
        <v/>
      </c>
      <c r="E96" s="367" t="str">
        <f>IF(元請調査票データ!H217="","",元請調査票データ!H217)</f>
        <v/>
      </c>
      <c r="F96" s="1967" t="str">
        <f t="shared" si="8"/>
        <v/>
      </c>
      <c r="G96" s="1968"/>
      <c r="H96" s="375" t="str">
        <f t="shared" si="9"/>
        <v/>
      </c>
      <c r="I96" s="368"/>
      <c r="J96" s="348"/>
      <c r="K96" s="335"/>
      <c r="L96" s="829" t="s">
        <v>772</v>
      </c>
      <c r="M96" s="830"/>
      <c r="N96" s="833"/>
      <c r="O96" s="832" t="s">
        <v>771</v>
      </c>
      <c r="P96" s="576"/>
      <c r="Q96" s="350"/>
      <c r="R96" s="450" t="str">
        <f t="shared" si="10"/>
        <v/>
      </c>
    </row>
    <row r="97" spans="1:18" ht="30" customHeight="1">
      <c r="A97" s="385">
        <v>47</v>
      </c>
      <c r="B97" s="1970" t="str">
        <f>IF(元請調査票データ!C218="","",元請調査票データ!C218)</f>
        <v/>
      </c>
      <c r="C97" s="1970"/>
      <c r="D97" s="367" t="str">
        <f>IF(元請調査票データ!G218="","",元請調査票データ!G218)</f>
        <v/>
      </c>
      <c r="E97" s="367" t="str">
        <f>IF(元請調査票データ!H218="","",元請調査票データ!H218)</f>
        <v/>
      </c>
      <c r="F97" s="1967" t="str">
        <f t="shared" si="8"/>
        <v/>
      </c>
      <c r="G97" s="1968"/>
      <c r="H97" s="375" t="str">
        <f t="shared" si="9"/>
        <v/>
      </c>
      <c r="I97" s="368"/>
      <c r="J97" s="348"/>
      <c r="K97" s="326"/>
      <c r="L97" s="336" t="s">
        <v>30</v>
      </c>
      <c r="M97" s="15"/>
      <c r="N97" s="207"/>
      <c r="O97" s="351" t="s">
        <v>252</v>
      </c>
      <c r="P97" s="352">
        <f>元請調査票データ!H78+元請調査票データ!H79+元請調査票データ!H80</f>
        <v>0</v>
      </c>
      <c r="Q97" s="350"/>
      <c r="R97" s="450" t="str">
        <f t="shared" si="10"/>
        <v/>
      </c>
    </row>
    <row r="98" spans="1:18" ht="30" customHeight="1">
      <c r="A98" s="385">
        <v>48</v>
      </c>
      <c r="B98" s="1970" t="str">
        <f>IF(元請調査票データ!C219="","",元請調査票データ!C219)</f>
        <v/>
      </c>
      <c r="C98" s="1970"/>
      <c r="D98" s="367" t="str">
        <f>IF(元請調査票データ!G219="","",元請調査票データ!G219)</f>
        <v/>
      </c>
      <c r="E98" s="367" t="str">
        <f>IF(元請調査票データ!H219="","",元請調査票データ!H219)</f>
        <v/>
      </c>
      <c r="F98" s="1967" t="str">
        <f t="shared" si="8"/>
        <v/>
      </c>
      <c r="G98" s="1968"/>
      <c r="H98" s="375" t="str">
        <f t="shared" si="9"/>
        <v/>
      </c>
      <c r="I98" s="368"/>
      <c r="J98" s="348"/>
      <c r="K98" s="314" t="s">
        <v>619</v>
      </c>
      <c r="L98" s="15"/>
      <c r="M98" s="313"/>
      <c r="N98" s="227"/>
      <c r="O98" s="351">
        <f>SUM(O99:O100)</f>
        <v>0</v>
      </c>
      <c r="P98" s="352">
        <f>SUM(P99:P100)</f>
        <v>0</v>
      </c>
      <c r="Q98" s="350"/>
      <c r="R98" s="450" t="str">
        <f t="shared" si="10"/>
        <v/>
      </c>
    </row>
    <row r="99" spans="1:18" ht="30" customHeight="1">
      <c r="A99" s="385">
        <v>49</v>
      </c>
      <c r="B99" s="1970" t="str">
        <f>IF(元請調査票データ!C220="","",元請調査票データ!C220)</f>
        <v/>
      </c>
      <c r="C99" s="1970"/>
      <c r="D99" s="367" t="str">
        <f>IF(元請調査票データ!G220="","",元請調査票データ!G220)</f>
        <v/>
      </c>
      <c r="E99" s="367" t="str">
        <f>IF(元請調査票データ!H220="","",元請調査票データ!H220)</f>
        <v/>
      </c>
      <c r="F99" s="1967" t="str">
        <f t="shared" si="8"/>
        <v/>
      </c>
      <c r="G99" s="1968"/>
      <c r="H99" s="375" t="str">
        <f t="shared" si="9"/>
        <v/>
      </c>
      <c r="I99" s="368"/>
      <c r="J99" s="348"/>
      <c r="K99" s="315"/>
      <c r="L99" s="313" t="s">
        <v>620</v>
      </c>
      <c r="M99" s="15"/>
      <c r="N99" s="227"/>
      <c r="O99" s="351" t="s">
        <v>252</v>
      </c>
      <c r="P99" s="352">
        <f>元請調査票データ!H82</f>
        <v>0</v>
      </c>
      <c r="Q99" s="350"/>
      <c r="R99" s="450" t="str">
        <f t="shared" si="10"/>
        <v/>
      </c>
    </row>
    <row r="100" spans="1:18" ht="30" customHeight="1">
      <c r="A100" s="385">
        <v>50</v>
      </c>
      <c r="B100" s="1970" t="str">
        <f>IF(元請調査票データ!C221="","",元請調査票データ!C221)</f>
        <v/>
      </c>
      <c r="C100" s="1970"/>
      <c r="D100" s="367" t="str">
        <f>IF(元請調査票データ!G221="","",元請調査票データ!G221)</f>
        <v/>
      </c>
      <c r="E100" s="367" t="str">
        <f>IF(元請調査票データ!H221="","",元請調査票データ!H221)</f>
        <v/>
      </c>
      <c r="F100" s="1967" t="str">
        <f t="shared" si="8"/>
        <v/>
      </c>
      <c r="G100" s="1968"/>
      <c r="H100" s="375" t="str">
        <f t="shared" si="9"/>
        <v/>
      </c>
      <c r="I100" s="368"/>
      <c r="J100" s="348"/>
      <c r="K100" s="326"/>
      <c r="L100" s="313" t="s">
        <v>621</v>
      </c>
      <c r="M100" s="15"/>
      <c r="N100" s="227"/>
      <c r="O100" s="351" t="s">
        <v>252</v>
      </c>
      <c r="P100" s="352">
        <f>元請調査票データ!H83</f>
        <v>0</v>
      </c>
      <c r="Q100" s="350"/>
      <c r="R100" s="450" t="str">
        <f t="shared" si="10"/>
        <v/>
      </c>
    </row>
    <row r="101" spans="1:18" ht="30" customHeight="1">
      <c r="A101" s="385">
        <v>51</v>
      </c>
      <c r="B101" s="1970" t="str">
        <f>IF(元請調査票データ!C222="","",元請調査票データ!C222)</f>
        <v/>
      </c>
      <c r="C101" s="1970"/>
      <c r="D101" s="367" t="str">
        <f>IF(元請調査票データ!G222="","",元請調査票データ!G222)</f>
        <v/>
      </c>
      <c r="E101" s="367" t="str">
        <f>IF(元請調査票データ!H222="","",元請調査票データ!H222)</f>
        <v/>
      </c>
      <c r="F101" s="1967" t="str">
        <f t="shared" si="8"/>
        <v/>
      </c>
      <c r="G101" s="1968"/>
      <c r="H101" s="375" t="str">
        <f t="shared" si="9"/>
        <v/>
      </c>
      <c r="I101" s="368"/>
      <c r="J101" s="348"/>
      <c r="K101" s="314" t="s">
        <v>622</v>
      </c>
      <c r="L101" s="15"/>
      <c r="M101" s="313"/>
      <c r="N101" s="227"/>
      <c r="O101" s="351">
        <f>SUM(O102:O107)</f>
        <v>0</v>
      </c>
      <c r="P101" s="352">
        <f>SUM(P102:P107)</f>
        <v>0</v>
      </c>
      <c r="Q101" s="350"/>
      <c r="R101" s="450" t="str">
        <f t="shared" si="10"/>
        <v/>
      </c>
    </row>
    <row r="102" spans="1:18" ht="30" customHeight="1">
      <c r="A102" s="385">
        <v>52</v>
      </c>
      <c r="B102" s="1970" t="str">
        <f>IF(元請調査票データ!C223="","",元請調査票データ!C223)</f>
        <v/>
      </c>
      <c r="C102" s="1970"/>
      <c r="D102" s="367" t="str">
        <f>IF(元請調査票データ!G223="","",元請調査票データ!G223)</f>
        <v/>
      </c>
      <c r="E102" s="367" t="str">
        <f>IF(元請調査票データ!H223="","",元請調査票データ!H223)</f>
        <v/>
      </c>
      <c r="F102" s="1967" t="str">
        <f t="shared" si="8"/>
        <v/>
      </c>
      <c r="G102" s="1968"/>
      <c r="H102" s="375" t="str">
        <f t="shared" si="9"/>
        <v/>
      </c>
      <c r="I102" s="368"/>
      <c r="J102" s="348"/>
      <c r="K102" s="315"/>
      <c r="L102" s="327" t="s">
        <v>623</v>
      </c>
      <c r="M102" s="50"/>
      <c r="N102" s="328"/>
      <c r="O102" s="353">
        <f>元請調査票データ!H85</f>
        <v>0</v>
      </c>
      <c r="P102" s="354" t="s">
        <v>252</v>
      </c>
      <c r="Q102" s="350"/>
      <c r="R102" s="450" t="str">
        <f t="shared" si="10"/>
        <v/>
      </c>
    </row>
    <row r="103" spans="1:18" ht="30" customHeight="1">
      <c r="A103" s="385">
        <v>53</v>
      </c>
      <c r="B103" s="1970" t="str">
        <f>IF(元請調査票データ!C224="","",元請調査票データ!C224)</f>
        <v/>
      </c>
      <c r="C103" s="1970"/>
      <c r="D103" s="367" t="str">
        <f>IF(元請調査票データ!G224="","",元請調査票データ!G224)</f>
        <v/>
      </c>
      <c r="E103" s="367" t="str">
        <f>IF(元請調査票データ!H224="","",元請調査票データ!H224)</f>
        <v/>
      </c>
      <c r="F103" s="1967" t="str">
        <f t="shared" si="8"/>
        <v/>
      </c>
      <c r="G103" s="1968"/>
      <c r="H103" s="375" t="str">
        <f t="shared" si="9"/>
        <v/>
      </c>
      <c r="I103" s="368"/>
      <c r="J103" s="348"/>
      <c r="K103" s="315"/>
      <c r="L103" s="337" t="s">
        <v>624</v>
      </c>
      <c r="M103" s="25"/>
      <c r="N103" s="338"/>
      <c r="O103" s="355" t="s">
        <v>252</v>
      </c>
      <c r="P103" s="356">
        <f>元請調査票データ!H86</f>
        <v>0</v>
      </c>
      <c r="Q103" s="350"/>
      <c r="R103" s="450" t="str">
        <f t="shared" si="10"/>
        <v/>
      </c>
    </row>
    <row r="104" spans="1:18" ht="30" customHeight="1">
      <c r="A104" s="385">
        <v>54</v>
      </c>
      <c r="B104" s="1970" t="str">
        <f>IF(元請調査票データ!C225="","",元請調査票データ!C225)</f>
        <v/>
      </c>
      <c r="C104" s="1970"/>
      <c r="D104" s="367" t="str">
        <f>IF(元請調査票データ!G225="","",元請調査票データ!G225)</f>
        <v/>
      </c>
      <c r="E104" s="367" t="str">
        <f>IF(元請調査票データ!H225="","",元請調査票データ!H225)</f>
        <v/>
      </c>
      <c r="F104" s="1967" t="str">
        <f t="shared" si="8"/>
        <v/>
      </c>
      <c r="G104" s="1968"/>
      <c r="H104" s="375" t="str">
        <f t="shared" si="9"/>
        <v/>
      </c>
      <c r="I104" s="368"/>
      <c r="J104" s="348"/>
      <c r="K104" s="315"/>
      <c r="L104" s="337" t="s">
        <v>625</v>
      </c>
      <c r="M104" s="25"/>
      <c r="N104" s="338"/>
      <c r="O104" s="355" t="s">
        <v>252</v>
      </c>
      <c r="P104" s="356">
        <f>元請調査票データ!H87</f>
        <v>0</v>
      </c>
      <c r="Q104" s="350"/>
      <c r="R104" s="450" t="str">
        <f t="shared" si="10"/>
        <v/>
      </c>
    </row>
    <row r="105" spans="1:18" ht="30" customHeight="1">
      <c r="A105" s="385">
        <v>55</v>
      </c>
      <c r="B105" s="1970" t="str">
        <f>IF(元請調査票データ!C226="","",元請調査票データ!C226)</f>
        <v/>
      </c>
      <c r="C105" s="1970"/>
      <c r="D105" s="367" t="str">
        <f>IF(元請調査票データ!G226="","",元請調査票データ!G226)</f>
        <v/>
      </c>
      <c r="E105" s="367" t="str">
        <f>IF(元請調査票データ!H226="","",元請調査票データ!H226)</f>
        <v/>
      </c>
      <c r="F105" s="1967" t="str">
        <f t="shared" si="8"/>
        <v/>
      </c>
      <c r="G105" s="1968"/>
      <c r="H105" s="375" t="str">
        <f t="shared" si="9"/>
        <v/>
      </c>
      <c r="I105" s="368"/>
      <c r="J105" s="348"/>
      <c r="K105" s="315"/>
      <c r="L105" s="337" t="s">
        <v>626</v>
      </c>
      <c r="M105" s="25"/>
      <c r="N105" s="338"/>
      <c r="O105" s="355" t="s">
        <v>252</v>
      </c>
      <c r="P105" s="356">
        <f>元請調査票データ!H88</f>
        <v>0</v>
      </c>
      <c r="Q105" s="350"/>
      <c r="R105" s="450" t="str">
        <f t="shared" si="10"/>
        <v/>
      </c>
    </row>
    <row r="106" spans="1:18" ht="30" customHeight="1">
      <c r="A106" s="385">
        <v>56</v>
      </c>
      <c r="B106" s="1970" t="str">
        <f>IF(元請調査票データ!C227="","",元請調査票データ!C227)</f>
        <v/>
      </c>
      <c r="C106" s="1970"/>
      <c r="D106" s="367" t="str">
        <f>IF(元請調査票データ!G227="","",元請調査票データ!G227)</f>
        <v/>
      </c>
      <c r="E106" s="367" t="str">
        <f>IF(元請調査票データ!H227="","",元請調査票データ!H227)</f>
        <v/>
      </c>
      <c r="F106" s="1967" t="str">
        <f t="shared" si="8"/>
        <v/>
      </c>
      <c r="G106" s="1968"/>
      <c r="H106" s="375" t="str">
        <f t="shared" si="9"/>
        <v/>
      </c>
      <c r="I106" s="368"/>
      <c r="J106" s="348"/>
      <c r="K106" s="315"/>
      <c r="L106" s="337" t="s">
        <v>915</v>
      </c>
      <c r="M106" s="25"/>
      <c r="N106" s="338"/>
      <c r="O106" s="355" t="s">
        <v>252</v>
      </c>
      <c r="P106" s="356">
        <f>元請調査票データ!H89</f>
        <v>0</v>
      </c>
      <c r="Q106" s="350"/>
      <c r="R106" s="450" t="str">
        <f t="shared" si="10"/>
        <v/>
      </c>
    </row>
    <row r="107" spans="1:18" ht="30" customHeight="1">
      <c r="A107" s="385">
        <v>57</v>
      </c>
      <c r="B107" s="1970" t="str">
        <f>IF(元請調査票データ!C228="","",元請調査票データ!C228)</f>
        <v/>
      </c>
      <c r="C107" s="1970"/>
      <c r="D107" s="367" t="str">
        <f>IF(元請調査票データ!G228="","",元請調査票データ!G228)</f>
        <v/>
      </c>
      <c r="E107" s="367" t="str">
        <f>IF(元請調査票データ!H228="","",元請調査票データ!H228)</f>
        <v/>
      </c>
      <c r="F107" s="1967" t="str">
        <f t="shared" si="8"/>
        <v/>
      </c>
      <c r="G107" s="1968"/>
      <c r="H107" s="375" t="str">
        <f t="shared" si="9"/>
        <v/>
      </c>
      <c r="I107" s="368"/>
      <c r="J107" s="348"/>
      <c r="K107" s="326"/>
      <c r="L107" s="339" t="s">
        <v>748</v>
      </c>
      <c r="M107" s="340"/>
      <c r="N107" s="341"/>
      <c r="O107" s="357" t="s">
        <v>252</v>
      </c>
      <c r="P107" s="358">
        <f>元請調査票データ!H91</f>
        <v>0</v>
      </c>
      <c r="Q107" s="350"/>
      <c r="R107" s="450" t="str">
        <f t="shared" si="10"/>
        <v/>
      </c>
    </row>
    <row r="108" spans="1:18" ht="30" customHeight="1">
      <c r="A108" s="385">
        <v>58</v>
      </c>
      <c r="B108" s="1970" t="str">
        <f>IF(元請調査票データ!C229="","",元請調査票データ!C229)</f>
        <v/>
      </c>
      <c r="C108" s="1970"/>
      <c r="D108" s="367" t="str">
        <f>IF(元請調査票データ!G229="","",元請調査票データ!G229)</f>
        <v/>
      </c>
      <c r="E108" s="367" t="str">
        <f>IF(元請調査票データ!H229="","",元請調査票データ!H229)</f>
        <v/>
      </c>
      <c r="F108" s="1967" t="str">
        <f t="shared" si="8"/>
        <v/>
      </c>
      <c r="G108" s="1968"/>
      <c r="H108" s="375" t="str">
        <f t="shared" si="9"/>
        <v/>
      </c>
      <c r="I108" s="368"/>
      <c r="J108" s="348"/>
      <c r="K108" s="314" t="s">
        <v>916</v>
      </c>
      <c r="L108" s="15"/>
      <c r="M108" s="313"/>
      <c r="N108" s="227"/>
      <c r="O108" s="351">
        <f>SUM(O109,O110,O111:O116)</f>
        <v>0</v>
      </c>
      <c r="P108" s="352">
        <f>SUM(P109,P110,P111:P116)</f>
        <v>0</v>
      </c>
      <c r="Q108" s="350"/>
      <c r="R108" s="450" t="str">
        <f t="shared" si="10"/>
        <v/>
      </c>
    </row>
    <row r="109" spans="1:18" ht="30" customHeight="1">
      <c r="A109" s="385">
        <v>59</v>
      </c>
      <c r="B109" s="1970" t="str">
        <f>IF(元請調査票データ!C230="","",元請調査票データ!C230)</f>
        <v/>
      </c>
      <c r="C109" s="1970"/>
      <c r="D109" s="367" t="str">
        <f>IF(元請調査票データ!G230="","",元請調査票データ!G230)</f>
        <v/>
      </c>
      <c r="E109" s="367" t="str">
        <f>IF(元請調査票データ!H230="","",元請調査票データ!H230)</f>
        <v/>
      </c>
      <c r="F109" s="1967" t="str">
        <f t="shared" si="8"/>
        <v/>
      </c>
      <c r="G109" s="1968"/>
      <c r="H109" s="375" t="str">
        <f t="shared" si="9"/>
        <v/>
      </c>
      <c r="I109" s="368"/>
      <c r="J109" s="348"/>
      <c r="K109" s="333"/>
      <c r="L109" s="316" t="s">
        <v>917</v>
      </c>
      <c r="M109" s="15"/>
      <c r="N109" s="227"/>
      <c r="O109" s="351">
        <f>元請調査票データ!H93</f>
        <v>0</v>
      </c>
      <c r="P109" s="352" t="s">
        <v>252</v>
      </c>
      <c r="Q109" s="350"/>
      <c r="R109" s="450" t="str">
        <f t="shared" si="10"/>
        <v/>
      </c>
    </row>
    <row r="110" spans="1:18" ht="30" customHeight="1">
      <c r="A110" s="385">
        <v>60</v>
      </c>
      <c r="B110" s="1970" t="str">
        <f>IF(元請調査票データ!C231="","",元請調査票データ!C231)</f>
        <v/>
      </c>
      <c r="C110" s="1970"/>
      <c r="D110" s="367" t="str">
        <f>IF(元請調査票データ!G231="","",元請調査票データ!G231)</f>
        <v/>
      </c>
      <c r="E110" s="367" t="str">
        <f>IF(元請調査票データ!H231="","",元請調査票データ!H231)</f>
        <v/>
      </c>
      <c r="F110" s="1967" t="str">
        <f t="shared" si="8"/>
        <v/>
      </c>
      <c r="G110" s="1968"/>
      <c r="H110" s="375" t="str">
        <f t="shared" si="9"/>
        <v/>
      </c>
      <c r="I110" s="368"/>
      <c r="J110" s="348"/>
      <c r="K110" s="333"/>
      <c r="L110" s="316" t="s">
        <v>249</v>
      </c>
      <c r="M110" s="15"/>
      <c r="N110" s="227"/>
      <c r="O110" s="351">
        <f>元請調査票データ!H94</f>
        <v>0</v>
      </c>
      <c r="P110" s="352" t="s">
        <v>252</v>
      </c>
      <c r="Q110" s="350"/>
      <c r="R110" s="450" t="str">
        <f t="shared" si="10"/>
        <v/>
      </c>
    </row>
    <row r="111" spans="1:18" ht="30" customHeight="1">
      <c r="A111" s="385"/>
      <c r="B111" s="2012"/>
      <c r="C111" s="2012"/>
      <c r="D111" s="392"/>
      <c r="E111" s="393"/>
      <c r="F111" s="2013"/>
      <c r="G111" s="2013"/>
      <c r="H111" s="394"/>
      <c r="I111" s="505"/>
      <c r="J111" s="348"/>
      <c r="K111" s="333"/>
      <c r="L111" s="313" t="s">
        <v>250</v>
      </c>
      <c r="M111" s="15"/>
      <c r="N111" s="227"/>
      <c r="O111" s="351">
        <f>元請調査票データ!H95</f>
        <v>0</v>
      </c>
      <c r="P111" s="352" t="s">
        <v>252</v>
      </c>
      <c r="Q111" s="350"/>
    </row>
    <row r="112" spans="1:18" ht="30" customHeight="1">
      <c r="A112" s="385"/>
      <c r="B112" s="2010"/>
      <c r="C112" s="2010"/>
      <c r="D112" s="395"/>
      <c r="E112" s="396"/>
      <c r="F112" s="2011"/>
      <c r="G112" s="2011"/>
      <c r="H112" s="397"/>
      <c r="I112" s="505"/>
      <c r="J112" s="348"/>
      <c r="K112" s="333"/>
      <c r="L112" s="313" t="s">
        <v>308</v>
      </c>
      <c r="M112" s="15"/>
      <c r="N112" s="227"/>
      <c r="O112" s="351">
        <f>元請調査票データ!H96</f>
        <v>0</v>
      </c>
      <c r="P112" s="352" t="s">
        <v>252</v>
      </c>
      <c r="Q112" s="350"/>
    </row>
    <row r="113" spans="1:17" ht="30" customHeight="1">
      <c r="A113" s="385"/>
      <c r="B113" s="2010"/>
      <c r="C113" s="2010"/>
      <c r="D113" s="395"/>
      <c r="E113" s="396"/>
      <c r="F113" s="2011"/>
      <c r="G113" s="2011"/>
      <c r="H113" s="397"/>
      <c r="I113" s="505"/>
      <c r="J113" s="348"/>
      <c r="K113" s="333"/>
      <c r="L113" s="313" t="s">
        <v>251</v>
      </c>
      <c r="M113" s="15"/>
      <c r="N113" s="227"/>
      <c r="O113" s="351" t="s">
        <v>252</v>
      </c>
      <c r="P113" s="352">
        <f>元請調査票データ!H97</f>
        <v>0</v>
      </c>
      <c r="Q113" s="350"/>
    </row>
    <row r="114" spans="1:17" ht="30" customHeight="1">
      <c r="A114" s="385"/>
      <c r="B114" s="2010"/>
      <c r="C114" s="2010"/>
      <c r="D114" s="395"/>
      <c r="E114" s="396"/>
      <c r="F114" s="2011"/>
      <c r="G114" s="2011"/>
      <c r="H114" s="397"/>
      <c r="I114" s="505"/>
      <c r="J114" s="348"/>
      <c r="K114" s="333"/>
      <c r="L114" s="313" t="s">
        <v>5443</v>
      </c>
      <c r="M114" s="15"/>
      <c r="N114" s="227"/>
      <c r="O114" s="351">
        <f>元請調査票データ!H98</f>
        <v>0</v>
      </c>
      <c r="P114" s="352" t="s">
        <v>37</v>
      </c>
      <c r="Q114" s="350"/>
    </row>
    <row r="115" spans="1:17" ht="30" customHeight="1">
      <c r="A115" s="385"/>
      <c r="B115" s="2010"/>
      <c r="C115" s="2010"/>
      <c r="D115" s="395"/>
      <c r="E115" s="396"/>
      <c r="F115" s="2011"/>
      <c r="G115" s="2011"/>
      <c r="H115" s="397"/>
      <c r="I115" s="505"/>
      <c r="J115" s="348"/>
      <c r="K115" s="333"/>
      <c r="L115" s="313" t="s">
        <v>1628</v>
      </c>
      <c r="M115" s="15"/>
      <c r="N115" s="227"/>
      <c r="O115" s="351" t="s">
        <v>773</v>
      </c>
      <c r="P115" s="352">
        <f>元請調査票データ!H99</f>
        <v>0</v>
      </c>
      <c r="Q115" s="350"/>
    </row>
    <row r="116" spans="1:17" ht="30" customHeight="1">
      <c r="A116" s="385"/>
      <c r="B116" s="2010"/>
      <c r="C116" s="2010"/>
      <c r="D116" s="395"/>
      <c r="E116" s="396"/>
      <c r="F116" s="2011"/>
      <c r="G116" s="2011"/>
      <c r="H116" s="397"/>
      <c r="I116" s="505"/>
      <c r="J116" s="348"/>
      <c r="K116" s="344"/>
      <c r="L116" s="336" t="s">
        <v>30</v>
      </c>
      <c r="M116" s="345"/>
      <c r="N116" s="207"/>
      <c r="O116" s="351" t="s">
        <v>252</v>
      </c>
      <c r="P116" s="352">
        <f>元請調査票データ!H100+元請調査票データ!H101+元請調査票データ!H102</f>
        <v>0</v>
      </c>
      <c r="Q116" s="350"/>
    </row>
    <row r="117" spans="1:17" ht="30" customHeight="1">
      <c r="B117" s="261"/>
      <c r="C117" s="346"/>
      <c r="D117" s="361"/>
      <c r="E117" s="361"/>
      <c r="F117" s="361"/>
      <c r="G117" s="361"/>
      <c r="H117" s="362"/>
      <c r="I117" s="362"/>
      <c r="J117" s="348"/>
      <c r="K117" s="314" t="s">
        <v>1759</v>
      </c>
      <c r="L117" s="15"/>
      <c r="M117" s="313"/>
      <c r="N117" s="227"/>
      <c r="O117" s="351">
        <f>SUM(O118:O122)</f>
        <v>0</v>
      </c>
      <c r="P117" s="352">
        <f>SUM(P118:P122)</f>
        <v>0</v>
      </c>
      <c r="Q117" s="350"/>
    </row>
    <row r="118" spans="1:17" ht="30" customHeight="1">
      <c r="B118" s="261"/>
      <c r="C118" s="346"/>
      <c r="D118" s="362"/>
      <c r="E118" s="362"/>
      <c r="F118" s="362"/>
      <c r="G118" s="362"/>
      <c r="H118" s="362"/>
      <c r="I118" s="362"/>
      <c r="J118" s="348"/>
      <c r="K118" s="315"/>
      <c r="L118" s="327" t="s">
        <v>309</v>
      </c>
      <c r="M118" s="50"/>
      <c r="N118" s="328"/>
      <c r="O118" s="353">
        <f>元請調査票データ!H104</f>
        <v>0</v>
      </c>
      <c r="P118" s="354" t="s">
        <v>775</v>
      </c>
      <c r="Q118" s="350"/>
    </row>
    <row r="119" spans="1:17" ht="30" customHeight="1">
      <c r="B119" s="261"/>
      <c r="C119" s="346"/>
      <c r="D119" s="364"/>
      <c r="E119" s="364"/>
      <c r="F119" s="364"/>
      <c r="G119" s="364"/>
      <c r="H119" s="362"/>
      <c r="I119" s="362"/>
      <c r="J119" s="348"/>
      <c r="K119" s="315"/>
      <c r="L119" s="337" t="s">
        <v>310</v>
      </c>
      <c r="M119" s="25"/>
      <c r="N119" s="338"/>
      <c r="O119" s="355">
        <f>元請調査票データ!H105</f>
        <v>0</v>
      </c>
      <c r="P119" s="356" t="s">
        <v>776</v>
      </c>
      <c r="Q119" s="350"/>
    </row>
    <row r="120" spans="1:17" ht="30" customHeight="1">
      <c r="B120" s="261"/>
      <c r="C120" s="346"/>
      <c r="D120" s="361"/>
      <c r="E120" s="361"/>
      <c r="F120" s="361"/>
      <c r="G120" s="361"/>
      <c r="H120" s="362"/>
      <c r="I120" s="362"/>
      <c r="J120" s="348"/>
      <c r="K120" s="315"/>
      <c r="L120" s="337" t="s">
        <v>311</v>
      </c>
      <c r="M120" s="25"/>
      <c r="N120" s="338"/>
      <c r="O120" s="355">
        <f>元請調査票データ!H106</f>
        <v>0</v>
      </c>
      <c r="P120" s="356" t="s">
        <v>777</v>
      </c>
      <c r="Q120" s="350"/>
    </row>
    <row r="121" spans="1:17" ht="30" customHeight="1">
      <c r="B121" s="261"/>
      <c r="C121" s="346"/>
      <c r="D121" s="361"/>
      <c r="E121" s="361"/>
      <c r="F121" s="361"/>
      <c r="G121" s="361"/>
      <c r="H121" s="362"/>
      <c r="I121" s="362"/>
      <c r="J121" s="348"/>
      <c r="K121" s="1152"/>
      <c r="L121" s="1197" t="s">
        <v>1760</v>
      </c>
      <c r="M121" s="834"/>
      <c r="N121" s="835"/>
      <c r="O121" s="355">
        <f>元請調査票データ!H107</f>
        <v>0</v>
      </c>
      <c r="P121" s="356" t="s">
        <v>778</v>
      </c>
      <c r="Q121" s="350"/>
    </row>
    <row r="122" spans="1:17" ht="30" customHeight="1">
      <c r="B122" s="362"/>
      <c r="C122" s="346"/>
      <c r="D122" s="361"/>
      <c r="E122" s="361"/>
      <c r="F122" s="361"/>
      <c r="G122" s="361"/>
      <c r="H122" s="362"/>
      <c r="I122" s="362"/>
      <c r="J122" s="348"/>
      <c r="K122" s="326"/>
      <c r="L122" s="339" t="s">
        <v>30</v>
      </c>
      <c r="M122" s="340"/>
      <c r="N122" s="341"/>
      <c r="O122" s="357" t="s">
        <v>779</v>
      </c>
      <c r="P122" s="358">
        <f>元請調査票データ!H100+元請調査票データ!H101+元請調査票データ!H102</f>
        <v>0</v>
      </c>
      <c r="Q122" s="350"/>
    </row>
    <row r="123" spans="1:17" ht="30" customHeight="1">
      <c r="B123" s="362"/>
      <c r="C123" s="346"/>
      <c r="D123" s="361"/>
      <c r="E123" s="361"/>
      <c r="F123" s="361"/>
      <c r="G123" s="361"/>
      <c r="H123" s="362"/>
      <c r="I123" s="362"/>
      <c r="J123" s="348"/>
      <c r="K123" s="314" t="s">
        <v>312</v>
      </c>
      <c r="L123" s="575"/>
      <c r="M123" s="574"/>
      <c r="N123" s="577"/>
      <c r="O123" s="351" t="s">
        <v>771</v>
      </c>
      <c r="P123" s="352">
        <f>元請調査票データ!H109</f>
        <v>0</v>
      </c>
      <c r="Q123" s="350"/>
    </row>
    <row r="124" spans="1:17" ht="30" customHeight="1">
      <c r="B124" s="362"/>
      <c r="C124" s="346"/>
      <c r="D124" s="361"/>
      <c r="E124" s="361"/>
      <c r="F124" s="361"/>
      <c r="G124" s="361"/>
      <c r="H124" s="362"/>
      <c r="I124" s="362"/>
      <c r="J124" s="348"/>
      <c r="K124" s="314" t="s">
        <v>5444</v>
      </c>
      <c r="L124" s="575"/>
      <c r="M124" s="574"/>
      <c r="N124" s="577"/>
      <c r="O124" s="351" t="s">
        <v>37</v>
      </c>
      <c r="P124" s="352">
        <f>元請調査票データ!H110</f>
        <v>0</v>
      </c>
      <c r="Q124" s="350"/>
    </row>
    <row r="125" spans="1:17" ht="30" customHeight="1">
      <c r="B125" s="362"/>
      <c r="C125" s="346"/>
      <c r="D125" s="361"/>
      <c r="E125" s="361"/>
      <c r="F125" s="361"/>
      <c r="G125" s="361"/>
      <c r="H125" s="362"/>
      <c r="I125" s="362"/>
      <c r="J125" s="348"/>
      <c r="K125" s="578"/>
      <c r="L125" s="339"/>
      <c r="M125" s="579"/>
      <c r="N125" s="573"/>
      <c r="O125" s="357"/>
      <c r="P125" s="358"/>
      <c r="Q125" s="350"/>
    </row>
    <row r="126" spans="1:17" ht="30" customHeight="1">
      <c r="B126" s="362"/>
      <c r="C126" s="346"/>
      <c r="D126" s="361"/>
      <c r="E126" s="361"/>
      <c r="F126" s="361"/>
      <c r="G126" s="361"/>
      <c r="H126" s="362"/>
      <c r="I126" s="362"/>
      <c r="J126" s="348"/>
      <c r="K126" s="332" t="s">
        <v>748</v>
      </c>
      <c r="L126" s="15"/>
      <c r="M126" s="313"/>
      <c r="N126" s="207"/>
      <c r="O126" s="351" t="s">
        <v>252</v>
      </c>
      <c r="P126" s="352">
        <f>元請調査票データ!H111+元請調査票データ!H112+元請調査票データ!H113</f>
        <v>0</v>
      </c>
      <c r="Q126" s="350"/>
    </row>
    <row r="127" spans="1:17" ht="30" customHeight="1">
      <c r="B127" s="362"/>
      <c r="C127" s="346"/>
      <c r="D127" s="361"/>
      <c r="E127" s="361"/>
      <c r="F127" s="361"/>
      <c r="G127" s="361"/>
      <c r="H127" s="362"/>
      <c r="I127" s="362"/>
      <c r="J127" s="348"/>
    </row>
    <row r="128" spans="1:17" ht="30" customHeight="1">
      <c r="B128" s="362"/>
      <c r="C128" s="346"/>
      <c r="D128" s="361"/>
      <c r="E128" s="361"/>
      <c r="F128" s="361"/>
      <c r="G128" s="361"/>
      <c r="H128" s="362"/>
      <c r="I128" s="362"/>
      <c r="J128" s="348"/>
    </row>
    <row r="129" spans="2:10" ht="30" customHeight="1">
      <c r="B129" s="362"/>
      <c r="C129" s="346"/>
      <c r="D129" s="361"/>
      <c r="E129" s="361"/>
      <c r="F129" s="361"/>
      <c r="G129" s="361"/>
      <c r="H129" s="362"/>
      <c r="I129" s="362"/>
      <c r="J129" s="348"/>
    </row>
    <row r="130" spans="2:10" ht="30" customHeight="1">
      <c r="B130" s="362"/>
      <c r="C130" s="346"/>
      <c r="D130" s="361"/>
      <c r="E130" s="361"/>
      <c r="F130" s="361"/>
      <c r="G130" s="361"/>
      <c r="H130" s="362"/>
      <c r="I130" s="362"/>
      <c r="J130" s="348"/>
    </row>
    <row r="131" spans="2:10" ht="30" customHeight="1">
      <c r="B131" s="362"/>
      <c r="C131" s="346"/>
      <c r="D131" s="361"/>
      <c r="E131" s="361"/>
      <c r="F131" s="361"/>
      <c r="G131" s="361"/>
      <c r="H131" s="362"/>
      <c r="I131" s="362"/>
      <c r="J131" s="348"/>
    </row>
    <row r="132" spans="2:10" ht="30" customHeight="1">
      <c r="B132" s="362"/>
      <c r="C132" s="346"/>
      <c r="D132" s="361"/>
      <c r="E132" s="361"/>
      <c r="F132" s="361"/>
      <c r="G132" s="361"/>
      <c r="H132" s="362"/>
      <c r="I132" s="362"/>
      <c r="J132" s="348"/>
    </row>
    <row r="133" spans="2:10" ht="30" customHeight="1">
      <c r="B133" s="362"/>
      <c r="C133" s="346"/>
      <c r="D133" s="361"/>
      <c r="E133" s="361"/>
      <c r="F133" s="361"/>
      <c r="G133" s="361"/>
      <c r="H133" s="362"/>
      <c r="I133" s="362"/>
      <c r="J133" s="348"/>
    </row>
    <row r="134" spans="2:10" ht="30" customHeight="1">
      <c r="B134" s="362"/>
      <c r="C134" s="346"/>
      <c r="D134" s="361"/>
      <c r="E134" s="361"/>
      <c r="F134" s="361"/>
      <c r="G134" s="361"/>
      <c r="H134" s="362"/>
      <c r="I134" s="362"/>
      <c r="J134" s="349"/>
    </row>
    <row r="135" spans="2:10" ht="30" customHeight="1">
      <c r="B135" s="362"/>
      <c r="C135" s="346"/>
      <c r="D135" s="361"/>
      <c r="E135" s="361"/>
      <c r="F135" s="361"/>
      <c r="G135" s="361"/>
      <c r="H135" s="362"/>
      <c r="I135" s="362"/>
      <c r="J135" s="349"/>
    </row>
    <row r="136" spans="2:10" ht="30" customHeight="1">
      <c r="B136" s="363"/>
      <c r="C136" s="346"/>
      <c r="D136" s="361"/>
      <c r="E136" s="361"/>
      <c r="F136" s="361"/>
      <c r="G136" s="361"/>
      <c r="H136" s="362"/>
      <c r="I136" s="362"/>
      <c r="J136" s="348"/>
    </row>
    <row r="137" spans="2:10" ht="30" customHeight="1">
      <c r="B137" s="363"/>
      <c r="C137" s="346"/>
      <c r="D137" s="361"/>
      <c r="E137" s="361"/>
      <c r="F137" s="361"/>
      <c r="G137" s="361"/>
      <c r="H137" s="362"/>
      <c r="I137" s="362"/>
      <c r="J137" s="348"/>
    </row>
    <row r="138" spans="2:10" ht="30.95" customHeight="1">
      <c r="B138" s="363"/>
      <c r="C138" s="346"/>
      <c r="D138" s="361"/>
      <c r="E138" s="361"/>
      <c r="F138" s="361"/>
      <c r="G138" s="361"/>
      <c r="H138" s="362"/>
      <c r="I138" s="362"/>
      <c r="J138" s="348"/>
    </row>
    <row r="139" spans="2:10" ht="30.95" customHeight="1">
      <c r="B139" s="363"/>
      <c r="C139" s="346"/>
      <c r="D139" s="361"/>
      <c r="E139" s="361"/>
      <c r="F139" s="361"/>
      <c r="G139" s="361"/>
      <c r="H139" s="362"/>
      <c r="I139" s="362"/>
      <c r="J139" s="348"/>
    </row>
    <row r="140" spans="2:10" ht="30.95" customHeight="1">
      <c r="B140" s="363"/>
      <c r="C140" s="346"/>
      <c r="D140" s="361"/>
      <c r="E140" s="361"/>
      <c r="F140" s="361"/>
      <c r="G140" s="361"/>
      <c r="H140" s="362"/>
      <c r="I140" s="362"/>
      <c r="J140" s="349"/>
    </row>
    <row r="141" spans="2:10" ht="30.95" customHeight="1">
      <c r="B141" s="362"/>
      <c r="C141" s="346"/>
      <c r="D141" s="361"/>
      <c r="E141" s="361"/>
      <c r="F141" s="361"/>
      <c r="G141" s="361"/>
      <c r="H141" s="362"/>
      <c r="I141" s="362"/>
      <c r="J141" s="348"/>
    </row>
    <row r="142" spans="2:10" ht="30.95" customHeight="1">
      <c r="B142" s="362"/>
      <c r="C142" s="346"/>
      <c r="D142" s="361"/>
      <c r="E142" s="361"/>
      <c r="F142" s="361"/>
      <c r="G142" s="361"/>
      <c r="H142" s="362"/>
      <c r="I142" s="362"/>
      <c r="J142" s="348"/>
    </row>
    <row r="143" spans="2:10" ht="30.95" customHeight="1">
      <c r="B143" s="362"/>
      <c r="C143" s="346"/>
      <c r="D143" s="361"/>
      <c r="E143" s="361"/>
      <c r="F143" s="361"/>
      <c r="G143" s="361"/>
      <c r="H143" s="362"/>
      <c r="I143" s="362"/>
      <c r="J143" s="348"/>
    </row>
    <row r="144" spans="2:10" ht="30.95" customHeight="1">
      <c r="B144" s="362"/>
      <c r="C144" s="346"/>
      <c r="D144" s="361"/>
      <c r="E144" s="361"/>
      <c r="F144" s="361"/>
      <c r="G144" s="361"/>
      <c r="H144" s="362"/>
      <c r="I144" s="362"/>
      <c r="J144" s="348"/>
    </row>
    <row r="145" spans="2:10" ht="30.95" customHeight="1">
      <c r="B145" s="362"/>
      <c r="C145" s="346"/>
      <c r="D145" s="364"/>
      <c r="E145" s="364"/>
      <c r="F145" s="364"/>
      <c r="G145" s="364"/>
      <c r="H145" s="364"/>
      <c r="I145" s="364"/>
      <c r="J145" s="348"/>
    </row>
    <row r="146" spans="2:10" ht="30.95" customHeight="1">
      <c r="B146" s="362"/>
      <c r="C146" s="346"/>
      <c r="D146" s="364"/>
      <c r="E146" s="364"/>
      <c r="F146" s="364"/>
      <c r="G146" s="364"/>
      <c r="H146" s="364"/>
      <c r="I146" s="364"/>
      <c r="J146" s="348"/>
    </row>
    <row r="147" spans="2:10" ht="30.95" customHeight="1">
      <c r="B147" s="362"/>
      <c r="C147" s="346"/>
      <c r="D147" s="364"/>
      <c r="E147" s="364"/>
      <c r="F147" s="364"/>
      <c r="G147" s="364"/>
      <c r="H147" s="364"/>
      <c r="I147" s="364"/>
      <c r="J147" s="349"/>
    </row>
    <row r="148" spans="2:10" ht="30.95" customHeight="1">
      <c r="B148" s="362"/>
      <c r="C148" s="346"/>
      <c r="D148" s="364"/>
      <c r="E148" s="364"/>
      <c r="F148" s="364"/>
      <c r="G148" s="364"/>
      <c r="H148" s="364"/>
      <c r="I148" s="364"/>
      <c r="J148" s="348"/>
    </row>
    <row r="149" spans="2:10" ht="30.95" customHeight="1">
      <c r="B149" s="362"/>
      <c r="C149" s="346"/>
      <c r="D149" s="364"/>
      <c r="E149" s="364"/>
      <c r="F149" s="364"/>
      <c r="G149" s="364"/>
      <c r="H149" s="364"/>
      <c r="I149" s="364"/>
      <c r="J149" s="348"/>
    </row>
    <row r="150" spans="2:10" ht="30.95" customHeight="1">
      <c r="B150" s="362"/>
      <c r="C150" s="346"/>
      <c r="D150" s="364"/>
      <c r="E150" s="364"/>
      <c r="F150" s="364"/>
      <c r="G150" s="364"/>
      <c r="H150" s="364"/>
      <c r="I150" s="364"/>
      <c r="J150" s="348"/>
    </row>
    <row r="151" spans="2:10" ht="30.95" customHeight="1">
      <c r="B151" s="362"/>
      <c r="C151" s="346"/>
      <c r="D151" s="361"/>
      <c r="E151" s="361"/>
      <c r="F151" s="361"/>
      <c r="G151" s="361"/>
      <c r="H151" s="362"/>
      <c r="I151" s="362"/>
      <c r="J151" s="348"/>
    </row>
    <row r="152" spans="2:10" ht="30.95" customHeight="1">
      <c r="B152" s="362"/>
      <c r="C152" s="346"/>
      <c r="D152" s="361"/>
      <c r="E152" s="361"/>
      <c r="F152" s="361"/>
      <c r="G152" s="361"/>
      <c r="H152" s="362"/>
      <c r="I152" s="362"/>
      <c r="J152" s="348"/>
    </row>
    <row r="153" spans="2:10" ht="30.95" customHeight="1">
      <c r="B153" s="362"/>
      <c r="C153" s="346"/>
      <c r="D153" s="361"/>
      <c r="E153" s="361"/>
      <c r="F153" s="361"/>
      <c r="G153" s="361"/>
      <c r="H153" s="362"/>
      <c r="I153" s="362"/>
      <c r="J153" s="348"/>
    </row>
    <row r="154" spans="2:10" ht="30.95" customHeight="1">
      <c r="B154" s="362"/>
      <c r="C154" s="346"/>
      <c r="D154" s="362"/>
      <c r="E154" s="362"/>
      <c r="F154" s="362"/>
      <c r="G154" s="362"/>
      <c r="H154" s="362"/>
      <c r="I154" s="362"/>
    </row>
    <row r="155" spans="2:10" ht="30.95" customHeight="1">
      <c r="B155" s="362"/>
      <c r="C155" s="346"/>
      <c r="D155" s="362"/>
      <c r="E155" s="362"/>
      <c r="F155" s="362"/>
      <c r="G155" s="362"/>
      <c r="H155" s="362"/>
      <c r="I155" s="362"/>
    </row>
    <row r="156" spans="2:10" ht="30.95" customHeight="1">
      <c r="B156" s="362"/>
      <c r="C156" s="346"/>
      <c r="D156" s="364"/>
      <c r="E156" s="364"/>
      <c r="F156" s="364"/>
      <c r="G156" s="364"/>
      <c r="H156" s="364"/>
      <c r="I156" s="364"/>
    </row>
    <row r="157" spans="2:10" ht="30.95" customHeight="1">
      <c r="B157" s="362"/>
      <c r="C157" s="346"/>
      <c r="D157" s="364"/>
      <c r="E157" s="364"/>
      <c r="F157" s="364"/>
      <c r="G157" s="364"/>
      <c r="H157" s="364"/>
      <c r="I157" s="364"/>
    </row>
    <row r="158" spans="2:10" ht="30.95" customHeight="1">
      <c r="B158" s="362"/>
      <c r="C158" s="346"/>
      <c r="D158" s="361"/>
      <c r="E158" s="361"/>
      <c r="F158" s="361"/>
      <c r="G158" s="361"/>
      <c r="H158" s="362"/>
      <c r="I158" s="362"/>
    </row>
    <row r="159" spans="2:10" ht="30.95" customHeight="1">
      <c r="B159" s="362"/>
      <c r="C159" s="346"/>
      <c r="D159" s="361"/>
      <c r="E159" s="361"/>
      <c r="F159" s="361"/>
      <c r="G159" s="361"/>
      <c r="H159" s="362"/>
      <c r="I159" s="362"/>
    </row>
    <row r="160" spans="2:10" ht="30.95" customHeight="1">
      <c r="B160" s="362"/>
      <c r="C160" s="346"/>
      <c r="D160" s="361"/>
      <c r="E160" s="361"/>
      <c r="F160" s="361"/>
      <c r="G160" s="361"/>
      <c r="H160" s="362"/>
      <c r="I160" s="362"/>
    </row>
    <row r="161" spans="2:9" ht="30.95" customHeight="1">
      <c r="B161" s="362"/>
      <c r="C161" s="346"/>
      <c r="D161" s="361"/>
      <c r="E161" s="361"/>
      <c r="F161" s="361"/>
      <c r="G161" s="361"/>
      <c r="H161" s="362"/>
      <c r="I161" s="362"/>
    </row>
    <row r="162" spans="2:9" ht="30.95" customHeight="1">
      <c r="B162" s="362"/>
      <c r="C162" s="346"/>
      <c r="D162" s="361"/>
      <c r="E162" s="361"/>
      <c r="F162" s="361"/>
      <c r="G162" s="361"/>
      <c r="H162" s="362"/>
      <c r="I162" s="362"/>
    </row>
    <row r="163" spans="2:9" ht="30.95" customHeight="1">
      <c r="B163" s="362"/>
      <c r="C163" s="346"/>
      <c r="D163" s="362"/>
      <c r="E163" s="362"/>
      <c r="F163" s="362"/>
      <c r="G163" s="362"/>
      <c r="H163" s="362"/>
      <c r="I163" s="362"/>
    </row>
    <row r="164" spans="2:9" ht="30.95" customHeight="1">
      <c r="B164" s="362"/>
      <c r="C164" s="346"/>
      <c r="D164" s="364"/>
      <c r="E164" s="364"/>
      <c r="F164" s="364"/>
      <c r="G164" s="364"/>
      <c r="H164" s="364"/>
      <c r="I164" s="364"/>
    </row>
    <row r="165" spans="2:9" ht="30.95" customHeight="1">
      <c r="B165" s="362"/>
      <c r="C165" s="346"/>
      <c r="D165" s="364"/>
      <c r="E165" s="364"/>
      <c r="F165" s="364"/>
      <c r="G165" s="364"/>
      <c r="H165" s="364"/>
      <c r="I165" s="364"/>
    </row>
    <row r="166" spans="2:9" ht="30.95" customHeight="1">
      <c r="B166" s="362"/>
      <c r="C166" s="346"/>
      <c r="D166" s="361"/>
      <c r="E166" s="361"/>
      <c r="F166" s="361"/>
      <c r="G166" s="361"/>
      <c r="H166" s="362"/>
      <c r="I166" s="362"/>
    </row>
    <row r="167" spans="2:9" ht="30.95" customHeight="1">
      <c r="B167" s="362"/>
      <c r="C167" s="346"/>
      <c r="D167" s="361"/>
      <c r="E167" s="361"/>
      <c r="F167" s="361"/>
      <c r="G167" s="361"/>
      <c r="H167" s="362"/>
      <c r="I167" s="362"/>
    </row>
    <row r="168" spans="2:9" ht="30.95" customHeight="1">
      <c r="B168" s="362"/>
      <c r="C168" s="346"/>
      <c r="D168" s="361"/>
      <c r="E168" s="361"/>
      <c r="F168" s="361"/>
      <c r="G168" s="361"/>
      <c r="H168" s="362"/>
      <c r="I168" s="362"/>
    </row>
    <row r="169" spans="2:9" ht="30.95" customHeight="1">
      <c r="B169" s="362"/>
      <c r="C169" s="346"/>
      <c r="D169" s="361"/>
      <c r="E169" s="361"/>
      <c r="F169" s="361"/>
      <c r="G169" s="361"/>
      <c r="H169" s="362"/>
      <c r="I169" s="362"/>
    </row>
    <row r="170" spans="2:9" ht="30.95" customHeight="1">
      <c r="B170" s="362"/>
      <c r="C170" s="346"/>
      <c r="D170" s="361"/>
      <c r="E170" s="361"/>
      <c r="F170" s="361"/>
      <c r="G170" s="361"/>
      <c r="H170" s="362"/>
      <c r="I170" s="362"/>
    </row>
    <row r="171" spans="2:9" ht="30.95" customHeight="1">
      <c r="B171" s="362"/>
      <c r="C171" s="346"/>
      <c r="D171" s="362"/>
      <c r="E171" s="362"/>
      <c r="F171" s="362"/>
      <c r="G171" s="362"/>
      <c r="H171" s="362"/>
      <c r="I171" s="362"/>
    </row>
    <row r="172" spans="2:9" ht="30.95" customHeight="1">
      <c r="B172" s="362"/>
      <c r="C172" s="346"/>
      <c r="D172" s="362"/>
      <c r="E172" s="362"/>
      <c r="F172" s="362"/>
      <c r="G172" s="362"/>
      <c r="H172" s="362"/>
      <c r="I172" s="362"/>
    </row>
    <row r="173" spans="2:9" ht="30.95" customHeight="1"/>
    <row r="174" spans="2:9" ht="14.25" customHeight="1"/>
    <row r="179" ht="14.25" customHeight="1"/>
    <row r="181" ht="14.25" customHeight="1"/>
    <row r="189" ht="14.25" customHeight="1"/>
  </sheetData>
  <sheetProtection algorithmName="SHA-512" hashValue="sgTbTuYqSz3U0l/pfUgT5OamSUC4F7pOXpJ8rJcH5kbmFCNCl7Gc1OTvMDwJL5olAn9Yw8PIsM5dhFMR2V5sEA==" saltValue="Yyz2kYmcNJtbl4jm1Z++pg==" spinCount="100000" sheet="1" objects="1" scenarios="1"/>
  <mergeCells count="152">
    <mergeCell ref="AA2:AB3"/>
    <mergeCell ref="AC2:AE2"/>
    <mergeCell ref="AF2:AI2"/>
    <mergeCell ref="B113:C113"/>
    <mergeCell ref="F113:G113"/>
    <mergeCell ref="B116:C116"/>
    <mergeCell ref="F116:G116"/>
    <mergeCell ref="B114:C114"/>
    <mergeCell ref="F114:G114"/>
    <mergeCell ref="B115:C115"/>
    <mergeCell ref="F115:G115"/>
    <mergeCell ref="B112:C112"/>
    <mergeCell ref="F112:G112"/>
    <mergeCell ref="B111:C111"/>
    <mergeCell ref="F111:G111"/>
    <mergeCell ref="B106:C106"/>
    <mergeCell ref="F106:G106"/>
    <mergeCell ref="B108:C108"/>
    <mergeCell ref="F108:G108"/>
    <mergeCell ref="B107:C107"/>
    <mergeCell ref="F107:G107"/>
    <mergeCell ref="B104:C104"/>
    <mergeCell ref="F104:G104"/>
    <mergeCell ref="B103:C103"/>
    <mergeCell ref="F103:G103"/>
    <mergeCell ref="B109:C109"/>
    <mergeCell ref="F109:G109"/>
    <mergeCell ref="B110:C110"/>
    <mergeCell ref="F110:G110"/>
    <mergeCell ref="B105:C105"/>
    <mergeCell ref="F105:G105"/>
    <mergeCell ref="B94:C94"/>
    <mergeCell ref="F94:G94"/>
    <mergeCell ref="B93:C93"/>
    <mergeCell ref="F93:G93"/>
    <mergeCell ref="B92:C92"/>
    <mergeCell ref="B101:C101"/>
    <mergeCell ref="F101:G101"/>
    <mergeCell ref="B102:C102"/>
    <mergeCell ref="F102:G102"/>
    <mergeCell ref="B100:C100"/>
    <mergeCell ref="F100:G100"/>
    <mergeCell ref="B95:C95"/>
    <mergeCell ref="F95:G95"/>
    <mergeCell ref="B96:C96"/>
    <mergeCell ref="F96:G96"/>
    <mergeCell ref="B97:C97"/>
    <mergeCell ref="F97:G97"/>
    <mergeCell ref="B98:C98"/>
    <mergeCell ref="F98:G98"/>
    <mergeCell ref="B99:C99"/>
    <mergeCell ref="F99:G99"/>
    <mergeCell ref="F92:G92"/>
    <mergeCell ref="B91:C91"/>
    <mergeCell ref="F91:G91"/>
    <mergeCell ref="F90:G90"/>
    <mergeCell ref="B64:C64"/>
    <mergeCell ref="F64:G64"/>
    <mergeCell ref="B89:C89"/>
    <mergeCell ref="F89:G89"/>
    <mergeCell ref="F88:G88"/>
    <mergeCell ref="B86:C86"/>
    <mergeCell ref="B90:C90"/>
    <mergeCell ref="B88:C88"/>
    <mergeCell ref="F68:G68"/>
    <mergeCell ref="F70:G70"/>
    <mergeCell ref="B87:C87"/>
    <mergeCell ref="F87:G87"/>
    <mergeCell ref="F80:G80"/>
    <mergeCell ref="B80:C80"/>
    <mergeCell ref="B79:C79"/>
    <mergeCell ref="B78:C78"/>
    <mergeCell ref="F71:G71"/>
    <mergeCell ref="B72:C72"/>
    <mergeCell ref="B71:C71"/>
    <mergeCell ref="F72:G72"/>
    <mergeCell ref="B67:C67"/>
    <mergeCell ref="F53:G53"/>
    <mergeCell ref="F75:G75"/>
    <mergeCell ref="B77:C77"/>
    <mergeCell ref="B73:C73"/>
    <mergeCell ref="F74:G74"/>
    <mergeCell ref="B74:C74"/>
    <mergeCell ref="F73:G73"/>
    <mergeCell ref="F76:G76"/>
    <mergeCell ref="F86:G86"/>
    <mergeCell ref="F62:G62"/>
    <mergeCell ref="F61:G61"/>
    <mergeCell ref="F58:G58"/>
    <mergeCell ref="B83:C83"/>
    <mergeCell ref="F77:G77"/>
    <mergeCell ref="B85:C85"/>
    <mergeCell ref="F85:G85"/>
    <mergeCell ref="F65:G65"/>
    <mergeCell ref="B62:C62"/>
    <mergeCell ref="B61:C61"/>
    <mergeCell ref="F78:G78"/>
    <mergeCell ref="B84:C84"/>
    <mergeCell ref="F84:G84"/>
    <mergeCell ref="B82:C82"/>
    <mergeCell ref="F82:G82"/>
    <mergeCell ref="F83:G83"/>
    <mergeCell ref="F79:G79"/>
    <mergeCell ref="F81:G81"/>
    <mergeCell ref="F67:G67"/>
    <mergeCell ref="B70:C70"/>
    <mergeCell ref="F69:G69"/>
    <mergeCell ref="B69:C69"/>
    <mergeCell ref="B57:C57"/>
    <mergeCell ref="B68:C68"/>
    <mergeCell ref="B81:C81"/>
    <mergeCell ref="B76:C76"/>
    <mergeCell ref="B75:C75"/>
    <mergeCell ref="U41:V41"/>
    <mergeCell ref="B41:C41"/>
    <mergeCell ref="F1:I2"/>
    <mergeCell ref="B48:I49"/>
    <mergeCell ref="B18:C20"/>
    <mergeCell ref="D18:E19"/>
    <mergeCell ref="B30:C30"/>
    <mergeCell ref="G10:I10"/>
    <mergeCell ref="I18:I20"/>
    <mergeCell ref="H18:H20"/>
    <mergeCell ref="F18:G19"/>
    <mergeCell ref="B39:C39"/>
    <mergeCell ref="G11:I11"/>
    <mergeCell ref="B42:C42"/>
    <mergeCell ref="G12:I12"/>
    <mergeCell ref="F51:G51"/>
    <mergeCell ref="F50:G50"/>
    <mergeCell ref="F55:G55"/>
    <mergeCell ref="F59:G59"/>
    <mergeCell ref="F52:G52"/>
    <mergeCell ref="B66:C66"/>
    <mergeCell ref="F66:G66"/>
    <mergeCell ref="F57:G57"/>
    <mergeCell ref="B63:C63"/>
    <mergeCell ref="F63:G63"/>
    <mergeCell ref="B65:C65"/>
    <mergeCell ref="F56:G56"/>
    <mergeCell ref="B50:C50"/>
    <mergeCell ref="B55:C55"/>
    <mergeCell ref="B56:C56"/>
    <mergeCell ref="B54:C54"/>
    <mergeCell ref="B51:C51"/>
    <mergeCell ref="F54:G54"/>
    <mergeCell ref="B52:C52"/>
    <mergeCell ref="B53:C53"/>
    <mergeCell ref="B60:C60"/>
    <mergeCell ref="B58:C58"/>
    <mergeCell ref="B59:C59"/>
    <mergeCell ref="F60:G60"/>
  </mergeCells>
  <phoneticPr fontId="5"/>
  <conditionalFormatting sqref="D45:D46">
    <cfRule type="cellIs" dxfId="9" priority="9" stopIfTrue="1" operator="greaterThan">
      <formula>0</formula>
    </cfRule>
  </conditionalFormatting>
  <conditionalFormatting sqref="H21:H43 H51:H116">
    <cfRule type="cellIs" dxfId="8" priority="10" stopIfTrue="1" operator="equal">
      <formula>"OK"</formula>
    </cfRule>
  </conditionalFormatting>
  <conditionalFormatting sqref="D41">
    <cfRule type="expression" dxfId="7" priority="7" stopIfTrue="1">
      <formula>$H$41="要確認92"</formula>
    </cfRule>
    <cfRule type="expression" dxfId="6" priority="8" stopIfTrue="1">
      <formula>$H$41="要確認93"</formula>
    </cfRule>
  </conditionalFormatting>
  <conditionalFormatting sqref="D42">
    <cfRule type="expression" dxfId="5" priority="5" stopIfTrue="1">
      <formula>$H$42="要確認99"</formula>
    </cfRule>
    <cfRule type="expression" dxfId="4" priority="6" stopIfTrue="1">
      <formula>$H$42="要確認100"</formula>
    </cfRule>
  </conditionalFormatting>
  <conditionalFormatting sqref="F41">
    <cfRule type="expression" dxfId="3" priority="3" stopIfTrue="1">
      <formula>$H$41="要確認92"</formula>
    </cfRule>
    <cfRule type="expression" dxfId="2" priority="4" stopIfTrue="1">
      <formula>$H$41="要確認93"</formula>
    </cfRule>
  </conditionalFormatting>
  <conditionalFormatting sqref="F42">
    <cfRule type="expression" dxfId="1" priority="1" stopIfTrue="1">
      <formula>$H$42="要確認99"</formula>
    </cfRule>
    <cfRule type="expression" dxfId="0" priority="2" stopIfTrue="1">
      <formula>$H$42="要確認100"</formula>
    </cfRule>
  </conditionalFormatting>
  <pageMargins left="0.39370078740157483" right="0.15748031496062992" top="0.59055118110236227" bottom="0.23622047244094491" header="0.31496062992125984" footer="0.15748031496062992"/>
  <pageSetup paperSize="8" scale="65" orientation="landscape" r:id="rId1"/>
  <headerFooter alignWithMargins="0">
    <oddHeader>&amp;L&amp;A</oddHeader>
    <oddFooter>&amp;C&amp;P/&amp;N</oddFooter>
  </headerFooter>
  <rowBreaks count="1" manualBreakCount="1">
    <brk id="43" max="1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44"/>
  </sheetPr>
  <dimension ref="A1:K147"/>
  <sheetViews>
    <sheetView showGridLines="0" zoomScaleNormal="100" workbookViewId="0">
      <pane ySplit="3" topLeftCell="A4" activePane="bottomLeft" state="frozen"/>
      <selection activeCell="W16" sqref="W16"/>
      <selection pane="bottomLeft"/>
    </sheetView>
  </sheetViews>
  <sheetFormatPr defaultRowHeight="14.25"/>
  <cols>
    <col min="1" max="1" width="2.5" style="234" customWidth="1"/>
    <col min="2" max="2" width="14.625" style="198" customWidth="1"/>
    <col min="3" max="3" width="14.625" style="199" customWidth="1"/>
    <col min="4" max="8" width="12.875" style="199" customWidth="1"/>
    <col min="9" max="9" width="35.75" style="200" customWidth="1"/>
    <col min="10" max="10" width="0" style="199" hidden="1" customWidth="1"/>
    <col min="11" max="16384" width="9" style="199"/>
  </cols>
  <sheetData>
    <row r="1" spans="1:11" s="154" customFormat="1" ht="31.5" customHeight="1">
      <c r="A1" s="277"/>
      <c r="B1" s="2064" t="s">
        <v>74</v>
      </c>
      <c r="C1" s="2064"/>
      <c r="D1" s="2064"/>
      <c r="E1" s="2064"/>
      <c r="F1" s="2064"/>
      <c r="G1" s="2064"/>
      <c r="H1" s="2064"/>
      <c r="I1" s="2064"/>
      <c r="J1" s="562"/>
    </row>
    <row r="2" spans="1:11" s="154" customFormat="1" ht="31.5" customHeight="1">
      <c r="A2" s="277"/>
      <c r="B2" s="263" t="s">
        <v>187</v>
      </c>
      <c r="C2" s="261"/>
      <c r="D2" s="261"/>
      <c r="E2" s="261"/>
      <c r="F2" s="261"/>
      <c r="G2" s="261"/>
      <c r="H2" s="261"/>
    </row>
    <row r="3" spans="1:11" s="154" customFormat="1" ht="30.95" customHeight="1">
      <c r="A3" s="158"/>
      <c r="B3" s="370" t="s">
        <v>661</v>
      </c>
      <c r="C3" s="370" t="s">
        <v>188</v>
      </c>
      <c r="D3" s="2068" t="s">
        <v>376</v>
      </c>
      <c r="E3" s="2069"/>
      <c r="F3" s="2069"/>
      <c r="G3" s="2069"/>
      <c r="H3" s="2070" t="s">
        <v>696</v>
      </c>
      <c r="I3" s="2070"/>
      <c r="J3" s="560"/>
      <c r="K3" s="707"/>
    </row>
    <row r="4" spans="1:11" s="154" customFormat="1" ht="30.95" customHeight="1">
      <c r="A4" s="158"/>
      <c r="B4" s="2065" t="s">
        <v>697</v>
      </c>
      <c r="C4" s="308" t="s">
        <v>642</v>
      </c>
      <c r="D4" s="2053" t="s">
        <v>171</v>
      </c>
      <c r="E4" s="2053"/>
      <c r="F4" s="2053"/>
      <c r="G4" s="2031"/>
      <c r="H4" s="2053" t="s">
        <v>172</v>
      </c>
      <c r="I4" s="2053"/>
      <c r="J4" s="560"/>
      <c r="K4" s="707"/>
    </row>
    <row r="5" spans="1:11" s="154" customFormat="1" ht="30.95" customHeight="1">
      <c r="A5" s="158"/>
      <c r="B5" s="2066"/>
      <c r="C5" s="308" t="s">
        <v>643</v>
      </c>
      <c r="D5" s="2017" t="s">
        <v>173</v>
      </c>
      <c r="E5" s="2017"/>
      <c r="F5" s="2017"/>
      <c r="G5" s="2014"/>
      <c r="H5" s="2053"/>
      <c r="I5" s="2053"/>
      <c r="J5" s="560"/>
      <c r="K5" s="707"/>
    </row>
    <row r="6" spans="1:11" ht="30.95" customHeight="1">
      <c r="A6" s="158"/>
      <c r="B6" s="2066"/>
      <c r="C6" s="308" t="s">
        <v>644</v>
      </c>
      <c r="D6" s="2017" t="s">
        <v>174</v>
      </c>
      <c r="E6" s="2017"/>
      <c r="F6" s="2017"/>
      <c r="G6" s="2014"/>
      <c r="H6" s="2053"/>
      <c r="I6" s="2053"/>
      <c r="J6" s="708"/>
      <c r="K6" s="709"/>
    </row>
    <row r="7" spans="1:11" ht="30.95" customHeight="1">
      <c r="A7" s="158"/>
      <c r="B7" s="2067"/>
      <c r="C7" s="308" t="s">
        <v>645</v>
      </c>
      <c r="D7" s="2053" t="s">
        <v>175</v>
      </c>
      <c r="E7" s="2053"/>
      <c r="F7" s="2053"/>
      <c r="G7" s="2031"/>
      <c r="H7" s="2053" t="s">
        <v>240</v>
      </c>
      <c r="I7" s="2053"/>
      <c r="J7" s="708"/>
      <c r="K7" s="709"/>
    </row>
    <row r="8" spans="1:11" ht="30.95" customHeight="1">
      <c r="B8" s="2061" t="s">
        <v>241</v>
      </c>
      <c r="C8" s="308" t="s">
        <v>646</v>
      </c>
      <c r="D8" s="2053" t="s">
        <v>242</v>
      </c>
      <c r="E8" s="2053"/>
      <c r="F8" s="2053"/>
      <c r="G8" s="2031"/>
      <c r="H8" s="2017" t="s">
        <v>243</v>
      </c>
      <c r="I8" s="2017"/>
      <c r="J8" s="708"/>
      <c r="K8" s="709"/>
    </row>
    <row r="9" spans="1:11" ht="30.95" customHeight="1">
      <c r="B9" s="2062"/>
      <c r="C9" s="308" t="s">
        <v>647</v>
      </c>
      <c r="D9" s="2053" t="s">
        <v>244</v>
      </c>
      <c r="E9" s="2053"/>
      <c r="F9" s="2053"/>
      <c r="G9" s="2031"/>
      <c r="H9" s="2017"/>
      <c r="I9" s="2017"/>
      <c r="J9" s="708"/>
      <c r="K9" s="709"/>
    </row>
    <row r="10" spans="1:11" s="154" customFormat="1" ht="30.95" customHeight="1">
      <c r="A10" s="234"/>
      <c r="B10" s="2062"/>
      <c r="C10" s="308" t="s">
        <v>648</v>
      </c>
      <c r="D10" s="2053" t="s">
        <v>238</v>
      </c>
      <c r="E10" s="2053"/>
      <c r="F10" s="2053"/>
      <c r="G10" s="2031"/>
      <c r="H10" s="2017"/>
      <c r="I10" s="2017"/>
      <c r="J10" s="560"/>
      <c r="K10" s="707"/>
    </row>
    <row r="11" spans="1:11" s="154" customFormat="1" ht="30.95" customHeight="1">
      <c r="A11" s="158"/>
      <c r="B11" s="2063"/>
      <c r="C11" s="308" t="s">
        <v>649</v>
      </c>
      <c r="D11" s="309" t="s">
        <v>313</v>
      </c>
      <c r="E11" s="310"/>
      <c r="F11" s="211"/>
      <c r="G11" s="1530"/>
      <c r="H11" s="2053" t="s">
        <v>314</v>
      </c>
      <c r="I11" s="2053"/>
      <c r="J11" s="560"/>
      <c r="K11" s="707"/>
    </row>
    <row r="12" spans="1:11" s="154" customFormat="1" ht="30.95" customHeight="1">
      <c r="A12" s="158"/>
      <c r="B12" s="2065" t="s">
        <v>749</v>
      </c>
      <c r="C12" s="308" t="s">
        <v>650</v>
      </c>
      <c r="D12" s="2053" t="s">
        <v>750</v>
      </c>
      <c r="E12" s="2053"/>
      <c r="F12" s="2053"/>
      <c r="G12" s="2031"/>
      <c r="H12" s="2053" t="s">
        <v>932</v>
      </c>
      <c r="I12" s="2053"/>
      <c r="J12" s="560"/>
      <c r="K12" s="707"/>
    </row>
    <row r="13" spans="1:11" s="154" customFormat="1" ht="30.95" customHeight="1">
      <c r="A13" s="158"/>
      <c r="B13" s="2066"/>
      <c r="C13" s="308" t="s">
        <v>651</v>
      </c>
      <c r="D13" s="2053" t="s">
        <v>933</v>
      </c>
      <c r="E13" s="2053"/>
      <c r="F13" s="2053"/>
      <c r="G13" s="2031"/>
      <c r="H13" s="2053"/>
      <c r="I13" s="2053"/>
      <c r="J13" s="560"/>
      <c r="K13" s="707"/>
    </row>
    <row r="14" spans="1:11" s="154" customFormat="1" ht="30.95" customHeight="1">
      <c r="A14" s="158"/>
      <c r="B14" s="2066"/>
      <c r="C14" s="308" t="s">
        <v>652</v>
      </c>
      <c r="D14" s="2053" t="s">
        <v>934</v>
      </c>
      <c r="E14" s="2053"/>
      <c r="F14" s="2053"/>
      <c r="G14" s="2031"/>
      <c r="H14" s="2053"/>
      <c r="I14" s="2053"/>
      <c r="J14" s="560"/>
      <c r="K14" s="707"/>
    </row>
    <row r="15" spans="1:11" ht="30.95" customHeight="1">
      <c r="A15" s="158"/>
      <c r="B15" s="2066"/>
      <c r="C15" s="308" t="s">
        <v>653</v>
      </c>
      <c r="D15" s="2053" t="s">
        <v>526</v>
      </c>
      <c r="E15" s="2053"/>
      <c r="F15" s="2053"/>
      <c r="G15" s="2031"/>
      <c r="H15" s="2053"/>
      <c r="I15" s="2053"/>
      <c r="J15" s="708"/>
      <c r="K15" s="709"/>
    </row>
    <row r="16" spans="1:11" ht="30.95" customHeight="1">
      <c r="B16" s="2066"/>
      <c r="C16" s="308" t="s">
        <v>654</v>
      </c>
      <c r="D16" s="2053" t="s">
        <v>527</v>
      </c>
      <c r="E16" s="2053"/>
      <c r="F16" s="2053"/>
      <c r="G16" s="2031"/>
      <c r="H16" s="2053"/>
      <c r="I16" s="2053"/>
      <c r="J16" s="708"/>
      <c r="K16" s="709"/>
    </row>
    <row r="17" spans="2:11" ht="30.95" customHeight="1">
      <c r="B17" s="2066"/>
      <c r="C17" s="308" t="s">
        <v>655</v>
      </c>
      <c r="D17" s="2053" t="s">
        <v>715</v>
      </c>
      <c r="E17" s="2053"/>
      <c r="F17" s="2053"/>
      <c r="G17" s="2031"/>
      <c r="H17" s="2053" t="s">
        <v>528</v>
      </c>
      <c r="I17" s="2053"/>
      <c r="J17" s="708"/>
      <c r="K17" s="709"/>
    </row>
    <row r="18" spans="2:11" ht="30.95" customHeight="1">
      <c r="B18" s="2067"/>
      <c r="C18" s="308" t="s">
        <v>656</v>
      </c>
      <c r="D18" s="2053" t="s">
        <v>638</v>
      </c>
      <c r="E18" s="2053"/>
      <c r="F18" s="2053"/>
      <c r="G18" s="2031"/>
      <c r="H18" s="2053"/>
      <c r="I18" s="2053"/>
      <c r="J18" s="708"/>
      <c r="K18" s="709"/>
    </row>
    <row r="19" spans="2:11" ht="30.95" customHeight="1">
      <c r="B19" s="2061" t="s">
        <v>529</v>
      </c>
      <c r="C19" s="308" t="s">
        <v>372</v>
      </c>
      <c r="D19" s="2053" t="s">
        <v>530</v>
      </c>
      <c r="E19" s="2053"/>
      <c r="F19" s="2053"/>
      <c r="G19" s="2031"/>
      <c r="H19" s="2017" t="s">
        <v>531</v>
      </c>
      <c r="I19" s="2017"/>
      <c r="J19" s="708"/>
      <c r="K19" s="709"/>
    </row>
    <row r="20" spans="2:11" ht="30.95" customHeight="1">
      <c r="B20" s="2062"/>
      <c r="C20" s="308" t="s">
        <v>373</v>
      </c>
      <c r="D20" s="2053" t="s">
        <v>532</v>
      </c>
      <c r="E20" s="2053"/>
      <c r="F20" s="2053"/>
      <c r="G20" s="2031"/>
      <c r="H20" s="2017"/>
      <c r="I20" s="2017"/>
      <c r="J20" s="708"/>
      <c r="K20" s="709"/>
    </row>
    <row r="21" spans="2:11" ht="30.95" customHeight="1">
      <c r="B21" s="2062"/>
      <c r="C21" s="308" t="s">
        <v>374</v>
      </c>
      <c r="D21" s="2053" t="s">
        <v>145</v>
      </c>
      <c r="E21" s="2053"/>
      <c r="F21" s="2053"/>
      <c r="G21" s="2031"/>
      <c r="H21" s="2017"/>
      <c r="I21" s="2017"/>
      <c r="J21" s="708"/>
      <c r="K21" s="709"/>
    </row>
    <row r="22" spans="2:11" ht="30.95" customHeight="1">
      <c r="B22" s="2062"/>
      <c r="C22" s="308" t="s">
        <v>375</v>
      </c>
      <c r="D22" s="2051" t="s">
        <v>146</v>
      </c>
      <c r="E22" s="2051"/>
      <c r="F22" s="2051"/>
      <c r="G22" s="2052"/>
      <c r="H22" s="2017"/>
      <c r="I22" s="2017"/>
      <c r="J22" s="708"/>
      <c r="K22" s="709"/>
    </row>
    <row r="23" spans="2:11" ht="30.95" customHeight="1">
      <c r="B23" s="2062"/>
      <c r="C23" s="308" t="s">
        <v>739</v>
      </c>
      <c r="D23" s="2051" t="s">
        <v>147</v>
      </c>
      <c r="E23" s="2051"/>
      <c r="F23" s="2051"/>
      <c r="G23" s="2052"/>
      <c r="H23" s="2017"/>
      <c r="I23" s="2017"/>
      <c r="J23" s="708"/>
      <c r="K23" s="709"/>
    </row>
    <row r="24" spans="2:11" ht="30.95" customHeight="1">
      <c r="B24" s="2062"/>
      <c r="C24" s="308" t="s">
        <v>740</v>
      </c>
      <c r="D24" s="2053" t="s">
        <v>195</v>
      </c>
      <c r="E24" s="2053"/>
      <c r="F24" s="2053"/>
      <c r="G24" s="2031"/>
      <c r="H24" s="2017" t="s">
        <v>440</v>
      </c>
      <c r="I24" s="2017"/>
      <c r="J24" s="708"/>
      <c r="K24" s="709"/>
    </row>
    <row r="25" spans="2:11" ht="30.95" customHeight="1">
      <c r="B25" s="2063"/>
      <c r="C25" s="308" t="s">
        <v>937</v>
      </c>
      <c r="D25" s="2053" t="s">
        <v>40</v>
      </c>
      <c r="E25" s="2053"/>
      <c r="F25" s="2053"/>
      <c r="G25" s="2031"/>
      <c r="H25" s="2017"/>
      <c r="I25" s="2017"/>
      <c r="J25" s="708"/>
      <c r="K25" s="709"/>
    </row>
    <row r="26" spans="2:11" ht="30.95" customHeight="1">
      <c r="B26" s="1538" t="s">
        <v>1960</v>
      </c>
      <c r="C26" s="308" t="s">
        <v>938</v>
      </c>
      <c r="D26" s="2051" t="s">
        <v>41</v>
      </c>
      <c r="E26" s="2051"/>
      <c r="F26" s="2051"/>
      <c r="G26" s="2052"/>
      <c r="H26" s="2017" t="s">
        <v>199</v>
      </c>
      <c r="I26" s="2017"/>
      <c r="J26" s="708"/>
      <c r="K26" s="709"/>
    </row>
    <row r="27" spans="2:11" ht="30.95" customHeight="1">
      <c r="B27" s="2033" t="s">
        <v>200</v>
      </c>
      <c r="C27" s="308" t="s">
        <v>939</v>
      </c>
      <c r="D27" s="2053" t="s">
        <v>201</v>
      </c>
      <c r="E27" s="2053"/>
      <c r="F27" s="2053"/>
      <c r="G27" s="2031"/>
      <c r="H27" s="2017" t="s">
        <v>222</v>
      </c>
      <c r="I27" s="2017"/>
      <c r="J27" s="708"/>
      <c r="K27" s="709"/>
    </row>
    <row r="28" spans="2:11" ht="30.95" customHeight="1">
      <c r="B28" s="2034"/>
      <c r="C28" s="308" t="s">
        <v>940</v>
      </c>
      <c r="D28" s="2053" t="s">
        <v>223</v>
      </c>
      <c r="E28" s="2053"/>
      <c r="F28" s="2053"/>
      <c r="G28" s="2031"/>
      <c r="H28" s="2017"/>
      <c r="I28" s="2017"/>
      <c r="J28" s="708"/>
      <c r="K28" s="709"/>
    </row>
    <row r="29" spans="2:11" ht="30.95" customHeight="1">
      <c r="B29" s="2034"/>
      <c r="C29" s="308" t="s">
        <v>941</v>
      </c>
      <c r="D29" s="2053" t="s">
        <v>224</v>
      </c>
      <c r="E29" s="2053"/>
      <c r="F29" s="2053"/>
      <c r="G29" s="2031"/>
      <c r="H29" s="2017"/>
      <c r="I29" s="2017"/>
      <c r="J29" s="708"/>
      <c r="K29" s="709"/>
    </row>
    <row r="30" spans="2:11" ht="30.95" customHeight="1">
      <c r="B30" s="2034"/>
      <c r="C30" s="308" t="s">
        <v>942</v>
      </c>
      <c r="D30" s="2053" t="s">
        <v>225</v>
      </c>
      <c r="E30" s="2053"/>
      <c r="F30" s="2053"/>
      <c r="G30" s="2031"/>
      <c r="H30" s="2017"/>
      <c r="I30" s="2017"/>
      <c r="J30" s="708"/>
      <c r="K30" s="709"/>
    </row>
    <row r="31" spans="2:11" ht="30.95" customHeight="1">
      <c r="B31" s="2034"/>
      <c r="C31" s="308" t="s">
        <v>943</v>
      </c>
      <c r="D31" s="2053" t="s">
        <v>226</v>
      </c>
      <c r="E31" s="2053"/>
      <c r="F31" s="2053"/>
      <c r="G31" s="2031"/>
      <c r="H31" s="2017"/>
      <c r="I31" s="2017"/>
      <c r="J31" s="708"/>
      <c r="K31" s="709"/>
    </row>
    <row r="32" spans="2:11" ht="30.95" customHeight="1">
      <c r="B32" s="2034"/>
      <c r="C32" s="2057" t="s">
        <v>944</v>
      </c>
      <c r="D32" s="2022" t="s">
        <v>227</v>
      </c>
      <c r="E32" s="2023"/>
      <c r="F32" s="2023"/>
      <c r="G32" s="2024"/>
      <c r="H32" s="2033" t="s">
        <v>164</v>
      </c>
      <c r="I32" s="2033"/>
      <c r="J32" s="708"/>
      <c r="K32" s="709"/>
    </row>
    <row r="33" spans="2:11" ht="30.95" customHeight="1">
      <c r="B33" s="2034"/>
      <c r="C33" s="2058"/>
      <c r="D33" s="2025"/>
      <c r="E33" s="2026"/>
      <c r="F33" s="2026"/>
      <c r="G33" s="2027"/>
      <c r="H33" s="2034"/>
      <c r="I33" s="2034"/>
      <c r="J33" s="708"/>
      <c r="K33" s="709"/>
    </row>
    <row r="34" spans="2:11" ht="30.95" customHeight="1">
      <c r="B34" s="2034"/>
      <c r="C34" s="2059"/>
      <c r="D34" s="2028"/>
      <c r="E34" s="2029"/>
      <c r="F34" s="2029"/>
      <c r="G34" s="2030"/>
      <c r="H34" s="2035"/>
      <c r="I34" s="2035"/>
      <c r="J34" s="708"/>
      <c r="K34" s="709"/>
    </row>
    <row r="35" spans="2:11" ht="30.95" customHeight="1">
      <c r="B35" s="2034"/>
      <c r="C35" s="2057" t="s">
        <v>945</v>
      </c>
      <c r="D35" s="2022" t="s">
        <v>387</v>
      </c>
      <c r="E35" s="2023"/>
      <c r="F35" s="2023"/>
      <c r="G35" s="2024"/>
      <c r="H35" s="2033" t="s">
        <v>383</v>
      </c>
      <c r="I35" s="2033"/>
      <c r="J35" s="708"/>
      <c r="K35" s="709"/>
    </row>
    <row r="36" spans="2:11" ht="30.95" customHeight="1">
      <c r="B36" s="2034"/>
      <c r="C36" s="2058"/>
      <c r="D36" s="2025"/>
      <c r="E36" s="2026"/>
      <c r="F36" s="2026"/>
      <c r="G36" s="2027"/>
      <c r="H36" s="2034"/>
      <c r="I36" s="2034"/>
      <c r="J36" s="708"/>
      <c r="K36" s="709"/>
    </row>
    <row r="37" spans="2:11" ht="30.95" customHeight="1">
      <c r="B37" s="2035"/>
      <c r="C37" s="2059"/>
      <c r="D37" s="2028"/>
      <c r="E37" s="2029"/>
      <c r="F37" s="2029"/>
      <c r="G37" s="2030"/>
      <c r="H37" s="2035"/>
      <c r="I37" s="2035"/>
      <c r="J37" s="708"/>
      <c r="K37" s="709"/>
    </row>
    <row r="38" spans="2:11" ht="30.95" customHeight="1">
      <c r="B38" s="2061" t="s">
        <v>564</v>
      </c>
      <c r="C38" s="308" t="s">
        <v>946</v>
      </c>
      <c r="D38" s="2053" t="s">
        <v>565</v>
      </c>
      <c r="E38" s="2053"/>
      <c r="F38" s="2053"/>
      <c r="G38" s="2031"/>
      <c r="H38" s="2017" t="s">
        <v>566</v>
      </c>
      <c r="I38" s="2017"/>
      <c r="J38" s="708"/>
      <c r="K38" s="709"/>
    </row>
    <row r="39" spans="2:11" ht="30.95" customHeight="1">
      <c r="B39" s="2062"/>
      <c r="C39" s="308" t="s">
        <v>947</v>
      </c>
      <c r="D39" s="2053" t="s">
        <v>567</v>
      </c>
      <c r="E39" s="2053"/>
      <c r="F39" s="2053"/>
      <c r="G39" s="2031"/>
      <c r="H39" s="2017"/>
      <c r="I39" s="2017"/>
      <c r="J39" s="708"/>
      <c r="K39" s="709"/>
    </row>
    <row r="40" spans="2:11" ht="30.95" customHeight="1">
      <c r="B40" s="2062"/>
      <c r="C40" s="308" t="s">
        <v>948</v>
      </c>
      <c r="D40" s="2053" t="s">
        <v>584</v>
      </c>
      <c r="E40" s="2053"/>
      <c r="F40" s="2053"/>
      <c r="G40" s="2031"/>
      <c r="H40" s="2017"/>
      <c r="I40" s="2017"/>
      <c r="J40" s="708"/>
      <c r="K40" s="709"/>
    </row>
    <row r="41" spans="2:11" ht="30.95" customHeight="1">
      <c r="B41" s="2062"/>
      <c r="C41" s="308" t="s">
        <v>949</v>
      </c>
      <c r="D41" s="2053" t="s">
        <v>585</v>
      </c>
      <c r="E41" s="2053"/>
      <c r="F41" s="2053"/>
      <c r="G41" s="2031"/>
      <c r="H41" s="2017"/>
      <c r="I41" s="2017"/>
      <c r="J41" s="708"/>
      <c r="K41" s="709"/>
    </row>
    <row r="42" spans="2:11" ht="30.95" customHeight="1">
      <c r="B42" s="2062"/>
      <c r="C42" s="308" t="s">
        <v>950</v>
      </c>
      <c r="D42" s="2053" t="s">
        <v>248</v>
      </c>
      <c r="E42" s="2053"/>
      <c r="F42" s="2053"/>
      <c r="G42" s="2031"/>
      <c r="H42" s="2017"/>
      <c r="I42" s="2017"/>
      <c r="J42" s="708"/>
      <c r="K42" s="709"/>
    </row>
    <row r="43" spans="2:11" ht="30.95" customHeight="1">
      <c r="B43" s="2062"/>
      <c r="C43" s="308" t="s">
        <v>951</v>
      </c>
      <c r="D43" s="2031" t="s">
        <v>732</v>
      </c>
      <c r="E43" s="2032"/>
      <c r="F43" s="2032"/>
      <c r="G43" s="2032"/>
      <c r="H43" s="2017" t="s">
        <v>733</v>
      </c>
      <c r="I43" s="2017"/>
      <c r="J43" s="708"/>
      <c r="K43" s="709"/>
    </row>
    <row r="44" spans="2:11" ht="30.95" customHeight="1">
      <c r="B44" s="2063"/>
      <c r="C44" s="308" t="s">
        <v>952</v>
      </c>
      <c r="D44" s="2031" t="s">
        <v>734</v>
      </c>
      <c r="E44" s="2032"/>
      <c r="F44" s="2032"/>
      <c r="G44" s="2032"/>
      <c r="H44" s="2017"/>
      <c r="I44" s="2017"/>
      <c r="J44" s="708"/>
      <c r="K44" s="709"/>
    </row>
    <row r="45" spans="2:11" ht="30.95" customHeight="1">
      <c r="B45" s="311" t="s">
        <v>735</v>
      </c>
      <c r="C45" s="308" t="s">
        <v>953</v>
      </c>
      <c r="D45" s="2052" t="s">
        <v>736</v>
      </c>
      <c r="E45" s="2071"/>
      <c r="F45" s="2071"/>
      <c r="G45" s="2071"/>
      <c r="H45" s="2017" t="s">
        <v>302</v>
      </c>
      <c r="I45" s="2017"/>
      <c r="J45" s="708"/>
      <c r="K45" s="709"/>
    </row>
    <row r="46" spans="2:11" ht="30.95" customHeight="1">
      <c r="B46" s="312" t="s">
        <v>303</v>
      </c>
      <c r="C46" s="308" t="s">
        <v>954</v>
      </c>
      <c r="D46" s="2072" t="s">
        <v>304</v>
      </c>
      <c r="E46" s="2012"/>
      <c r="F46" s="2012"/>
      <c r="G46" s="2012"/>
      <c r="H46" s="2017" t="s">
        <v>228</v>
      </c>
      <c r="I46" s="2017"/>
      <c r="J46" s="708"/>
      <c r="K46" s="709"/>
    </row>
    <row r="47" spans="2:11" ht="30.95" customHeight="1">
      <c r="B47" s="2061" t="s">
        <v>929</v>
      </c>
      <c r="C47" s="308" t="s">
        <v>955</v>
      </c>
      <c r="D47" s="2053" t="s">
        <v>229</v>
      </c>
      <c r="E47" s="2053"/>
      <c r="F47" s="2053"/>
      <c r="G47" s="2031"/>
      <c r="H47" s="2017" t="s">
        <v>230</v>
      </c>
      <c r="I47" s="2017"/>
      <c r="J47" s="708"/>
      <c r="K47" s="709"/>
    </row>
    <row r="48" spans="2:11" ht="30.95" customHeight="1">
      <c r="B48" s="2062"/>
      <c r="C48" s="308" t="s">
        <v>956</v>
      </c>
      <c r="D48" s="2053" t="s">
        <v>231</v>
      </c>
      <c r="E48" s="2053"/>
      <c r="F48" s="2053"/>
      <c r="G48" s="2031"/>
      <c r="H48" s="2017"/>
      <c r="I48" s="2017"/>
      <c r="J48" s="708"/>
      <c r="K48" s="709"/>
    </row>
    <row r="49" spans="2:11" ht="30.95" customHeight="1">
      <c r="B49" s="2062"/>
      <c r="C49" s="308" t="s">
        <v>957</v>
      </c>
      <c r="D49" s="2053" t="s">
        <v>294</v>
      </c>
      <c r="E49" s="2053"/>
      <c r="F49" s="2053"/>
      <c r="G49" s="2031"/>
      <c r="H49" s="2017"/>
      <c r="I49" s="2017"/>
      <c r="J49" s="708"/>
      <c r="K49" s="709"/>
    </row>
    <row r="50" spans="2:11" ht="30.95" customHeight="1">
      <c r="B50" s="2062"/>
      <c r="C50" s="308" t="s">
        <v>958</v>
      </c>
      <c r="D50" s="2053" t="s">
        <v>295</v>
      </c>
      <c r="E50" s="2053"/>
      <c r="F50" s="2053"/>
      <c r="G50" s="2031"/>
      <c r="H50" s="2017"/>
      <c r="I50" s="2017"/>
      <c r="J50" s="708"/>
      <c r="K50" s="709"/>
    </row>
    <row r="51" spans="2:11" ht="30.95" customHeight="1">
      <c r="B51" s="2062"/>
      <c r="C51" s="308" t="s">
        <v>959</v>
      </c>
      <c r="D51" s="2053" t="s">
        <v>109</v>
      </c>
      <c r="E51" s="2053"/>
      <c r="F51" s="2053"/>
      <c r="G51" s="2031"/>
      <c r="H51" s="2017"/>
      <c r="I51" s="2017"/>
      <c r="J51" s="708"/>
      <c r="K51" s="709"/>
    </row>
    <row r="52" spans="2:11" ht="30.95" customHeight="1">
      <c r="B52" s="2062"/>
      <c r="C52" s="308" t="s">
        <v>960</v>
      </c>
      <c r="D52" s="2031" t="s">
        <v>110</v>
      </c>
      <c r="E52" s="2032"/>
      <c r="F52" s="2032"/>
      <c r="G52" s="2032"/>
      <c r="H52" s="2017" t="s">
        <v>733</v>
      </c>
      <c r="I52" s="2017"/>
      <c r="J52" s="708"/>
      <c r="K52" s="709"/>
    </row>
    <row r="53" spans="2:11" ht="30.95" customHeight="1">
      <c r="B53" s="2063"/>
      <c r="C53" s="308" t="s">
        <v>961</v>
      </c>
      <c r="D53" s="2031" t="s">
        <v>113</v>
      </c>
      <c r="E53" s="2032"/>
      <c r="F53" s="2032"/>
      <c r="G53" s="2032"/>
      <c r="H53" s="2017"/>
      <c r="I53" s="2017"/>
      <c r="J53" s="708"/>
      <c r="K53" s="709"/>
    </row>
    <row r="54" spans="2:11" ht="30.95" customHeight="1">
      <c r="B54" s="2065" t="s">
        <v>114</v>
      </c>
      <c r="C54" s="308" t="s">
        <v>962</v>
      </c>
      <c r="D54" s="2053" t="s">
        <v>115</v>
      </c>
      <c r="E54" s="2053"/>
      <c r="F54" s="2053"/>
      <c r="G54" s="2031"/>
      <c r="H54" s="2017" t="s">
        <v>116</v>
      </c>
      <c r="I54" s="2017"/>
      <c r="J54" s="708"/>
      <c r="K54" s="709"/>
    </row>
    <row r="55" spans="2:11" ht="30.95" customHeight="1">
      <c r="B55" s="2066"/>
      <c r="C55" s="308" t="s">
        <v>963</v>
      </c>
      <c r="D55" s="2053" t="s">
        <v>117</v>
      </c>
      <c r="E55" s="2053"/>
      <c r="F55" s="2053"/>
      <c r="G55" s="2031"/>
      <c r="H55" s="2017"/>
      <c r="I55" s="2017"/>
      <c r="J55" s="708"/>
      <c r="K55" s="709"/>
    </row>
    <row r="56" spans="2:11" ht="30.95" customHeight="1">
      <c r="B56" s="2066"/>
      <c r="C56" s="308" t="s">
        <v>964</v>
      </c>
      <c r="D56" s="2053" t="s">
        <v>165</v>
      </c>
      <c r="E56" s="2053"/>
      <c r="F56" s="2053"/>
      <c r="G56" s="2031"/>
      <c r="H56" s="2017"/>
      <c r="I56" s="2017"/>
      <c r="J56" s="708"/>
      <c r="K56" s="709"/>
    </row>
    <row r="57" spans="2:11" ht="30.95" customHeight="1">
      <c r="B57" s="2066"/>
      <c r="C57" s="308" t="s">
        <v>965</v>
      </c>
      <c r="D57" s="2031" t="s">
        <v>471</v>
      </c>
      <c r="E57" s="2032"/>
      <c r="F57" s="2032"/>
      <c r="G57" s="2032"/>
      <c r="H57" s="2017" t="s">
        <v>733</v>
      </c>
      <c r="I57" s="2017"/>
      <c r="J57" s="708"/>
      <c r="K57" s="709"/>
    </row>
    <row r="58" spans="2:11" ht="30.95" customHeight="1">
      <c r="B58" s="2067"/>
      <c r="C58" s="308" t="s">
        <v>966</v>
      </c>
      <c r="D58" s="2031" t="s">
        <v>472</v>
      </c>
      <c r="E58" s="2032"/>
      <c r="F58" s="2032"/>
      <c r="G58" s="2032"/>
      <c r="H58" s="2017"/>
      <c r="I58" s="2017"/>
      <c r="J58" s="708"/>
      <c r="K58" s="709"/>
    </row>
    <row r="59" spans="2:11" ht="30.95" customHeight="1">
      <c r="B59" s="2065" t="s">
        <v>473</v>
      </c>
      <c r="C59" s="308" t="s">
        <v>967</v>
      </c>
      <c r="D59" s="2053" t="s">
        <v>474</v>
      </c>
      <c r="E59" s="2053"/>
      <c r="F59" s="2053"/>
      <c r="G59" s="2031"/>
      <c r="H59" s="2017" t="s">
        <v>758</v>
      </c>
      <c r="I59" s="2017"/>
      <c r="J59" s="708"/>
      <c r="K59" s="709"/>
    </row>
    <row r="60" spans="2:11" ht="30.95" customHeight="1">
      <c r="B60" s="2066"/>
      <c r="C60" s="308" t="s">
        <v>968</v>
      </c>
      <c r="D60" s="2053" t="s">
        <v>759</v>
      </c>
      <c r="E60" s="2053"/>
      <c r="F60" s="2053"/>
      <c r="G60" s="2031"/>
      <c r="H60" s="2017"/>
      <c r="I60" s="2017"/>
      <c r="J60" s="708"/>
      <c r="K60" s="709"/>
    </row>
    <row r="61" spans="2:11" ht="30.95" customHeight="1">
      <c r="B61" s="2066"/>
      <c r="C61" s="308" t="s">
        <v>969</v>
      </c>
      <c r="D61" s="2053" t="s">
        <v>378</v>
      </c>
      <c r="E61" s="2053"/>
      <c r="F61" s="2053"/>
      <c r="G61" s="2031"/>
      <c r="H61" s="2017"/>
      <c r="I61" s="2017"/>
      <c r="J61" s="708"/>
      <c r="K61" s="709"/>
    </row>
    <row r="62" spans="2:11" ht="30.95" customHeight="1">
      <c r="B62" s="2066"/>
      <c r="C62" s="308" t="s">
        <v>970</v>
      </c>
      <c r="D62" s="2053" t="s">
        <v>379</v>
      </c>
      <c r="E62" s="2053"/>
      <c r="F62" s="2053"/>
      <c r="G62" s="2031"/>
      <c r="H62" s="2017"/>
      <c r="I62" s="2017"/>
      <c r="J62" s="708"/>
      <c r="K62" s="709"/>
    </row>
    <row r="63" spans="2:11" ht="30.95" customHeight="1">
      <c r="B63" s="2066"/>
      <c r="C63" s="308" t="s">
        <v>971</v>
      </c>
      <c r="D63" s="2053" t="s">
        <v>368</v>
      </c>
      <c r="E63" s="2053"/>
      <c r="F63" s="2053"/>
      <c r="G63" s="2031"/>
      <c r="H63" s="2017"/>
      <c r="I63" s="2017"/>
      <c r="J63" s="708"/>
      <c r="K63" s="709"/>
    </row>
    <row r="64" spans="2:11" ht="30.95" customHeight="1">
      <c r="B64" s="2066"/>
      <c r="C64" s="308" t="s">
        <v>972</v>
      </c>
      <c r="D64" s="2031" t="s">
        <v>369</v>
      </c>
      <c r="E64" s="2032"/>
      <c r="F64" s="2032"/>
      <c r="G64" s="2032"/>
      <c r="H64" s="2017" t="s">
        <v>733</v>
      </c>
      <c r="I64" s="2017"/>
      <c r="J64" s="708"/>
      <c r="K64" s="709"/>
    </row>
    <row r="65" spans="2:11" ht="30.95" customHeight="1">
      <c r="B65" s="2067"/>
      <c r="C65" s="308" t="s">
        <v>973</v>
      </c>
      <c r="D65" s="2031" t="s">
        <v>370</v>
      </c>
      <c r="E65" s="2032"/>
      <c r="F65" s="2032"/>
      <c r="G65" s="2032"/>
      <c r="H65" s="2017"/>
      <c r="I65" s="2017"/>
      <c r="J65" s="708"/>
      <c r="K65" s="709"/>
    </row>
    <row r="66" spans="2:11" ht="30.95" customHeight="1">
      <c r="B66" s="2073" t="s">
        <v>1954</v>
      </c>
      <c r="C66" s="1529" t="s">
        <v>974</v>
      </c>
      <c r="D66" s="2076" t="s">
        <v>1955</v>
      </c>
      <c r="E66" s="2076"/>
      <c r="F66" s="2076"/>
      <c r="G66" s="2077"/>
      <c r="H66" s="2081" t="s">
        <v>1953</v>
      </c>
      <c r="I66" s="2081"/>
      <c r="J66" s="708"/>
      <c r="K66" s="709"/>
    </row>
    <row r="67" spans="2:11" ht="30.95" customHeight="1">
      <c r="B67" s="2074"/>
      <c r="C67" s="1529" t="s">
        <v>975</v>
      </c>
      <c r="D67" s="2076" t="s">
        <v>1956</v>
      </c>
      <c r="E67" s="2076"/>
      <c r="F67" s="2076"/>
      <c r="G67" s="2077"/>
      <c r="H67" s="2081"/>
      <c r="I67" s="2081"/>
      <c r="J67" s="708"/>
      <c r="K67" s="709"/>
    </row>
    <row r="68" spans="2:11" ht="30.95" customHeight="1">
      <c r="B68" s="2074"/>
      <c r="C68" s="1529" t="s">
        <v>976</v>
      </c>
      <c r="D68" s="2076" t="s">
        <v>1957</v>
      </c>
      <c r="E68" s="2076"/>
      <c r="F68" s="2076"/>
      <c r="G68" s="2077"/>
      <c r="H68" s="2081"/>
      <c r="I68" s="2081"/>
      <c r="J68" s="708"/>
      <c r="K68" s="709"/>
    </row>
    <row r="69" spans="2:11" ht="30.95" customHeight="1">
      <c r="B69" s="2074"/>
      <c r="C69" s="1529" t="s">
        <v>977</v>
      </c>
      <c r="D69" s="2077" t="s">
        <v>1958</v>
      </c>
      <c r="E69" s="2080"/>
      <c r="F69" s="2080"/>
      <c r="G69" s="2080"/>
      <c r="H69" s="2078" t="s">
        <v>384</v>
      </c>
      <c r="I69" s="2078"/>
      <c r="J69" s="708"/>
      <c r="K69" s="709"/>
    </row>
    <row r="70" spans="2:11" ht="30.95" customHeight="1">
      <c r="B70" s="2075"/>
      <c r="C70" s="1529" t="s">
        <v>978</v>
      </c>
      <c r="D70" s="2077" t="s">
        <v>1959</v>
      </c>
      <c r="E70" s="2080"/>
      <c r="F70" s="2080"/>
      <c r="G70" s="2080"/>
      <c r="H70" s="2079"/>
      <c r="I70" s="2079"/>
      <c r="J70" s="708"/>
      <c r="K70" s="709"/>
    </row>
    <row r="71" spans="2:11" ht="30.95" customHeight="1">
      <c r="B71" s="2065" t="s">
        <v>919</v>
      </c>
      <c r="C71" s="308" t="s">
        <v>979</v>
      </c>
      <c r="D71" s="2053" t="s">
        <v>920</v>
      </c>
      <c r="E71" s="2053"/>
      <c r="F71" s="2053"/>
      <c r="G71" s="2031"/>
      <c r="H71" s="2017" t="s">
        <v>921</v>
      </c>
      <c r="I71" s="2017"/>
      <c r="J71" s="708"/>
      <c r="K71" s="709"/>
    </row>
    <row r="72" spans="2:11" ht="30.95" customHeight="1">
      <c r="B72" s="2066"/>
      <c r="C72" s="308" t="s">
        <v>980</v>
      </c>
      <c r="D72" s="2053" t="s">
        <v>922</v>
      </c>
      <c r="E72" s="2053"/>
      <c r="F72" s="2053"/>
      <c r="G72" s="2031"/>
      <c r="H72" s="2017"/>
      <c r="I72" s="2017"/>
      <c r="J72" s="708"/>
      <c r="K72" s="709"/>
    </row>
    <row r="73" spans="2:11" ht="30.95" customHeight="1">
      <c r="B73" s="2066"/>
      <c r="C73" s="308" t="s">
        <v>981</v>
      </c>
      <c r="D73" s="2053" t="s">
        <v>923</v>
      </c>
      <c r="E73" s="2053"/>
      <c r="F73" s="2053"/>
      <c r="G73" s="2031"/>
      <c r="H73" s="2017"/>
      <c r="I73" s="2017"/>
      <c r="J73" s="708"/>
      <c r="K73" s="709"/>
    </row>
    <row r="74" spans="2:11" ht="30.95" customHeight="1">
      <c r="B74" s="2066"/>
      <c r="C74" s="308" t="s">
        <v>982</v>
      </c>
      <c r="D74" s="2017" t="s">
        <v>924</v>
      </c>
      <c r="E74" s="2017"/>
      <c r="F74" s="2017"/>
      <c r="G74" s="2014"/>
      <c r="H74" s="2017" t="s">
        <v>925</v>
      </c>
      <c r="I74" s="2017"/>
      <c r="J74" s="708"/>
      <c r="K74" s="709"/>
    </row>
    <row r="75" spans="2:11" ht="30.95" customHeight="1">
      <c r="B75" s="2066"/>
      <c r="C75" s="308" t="s">
        <v>983</v>
      </c>
      <c r="D75" s="2054" t="s">
        <v>926</v>
      </c>
      <c r="E75" s="2054"/>
      <c r="F75" s="2054"/>
      <c r="G75" s="2082"/>
      <c r="H75" s="2017" t="s">
        <v>927</v>
      </c>
      <c r="I75" s="2017"/>
      <c r="J75" s="708"/>
      <c r="K75" s="709"/>
    </row>
    <row r="76" spans="2:11" ht="30.95" customHeight="1">
      <c r="B76" s="2066"/>
      <c r="C76" s="308" t="s">
        <v>984</v>
      </c>
      <c r="D76" s="2031" t="s">
        <v>666</v>
      </c>
      <c r="E76" s="2032"/>
      <c r="F76" s="2032"/>
      <c r="G76" s="2032"/>
      <c r="H76" s="2017" t="s">
        <v>461</v>
      </c>
      <c r="I76" s="2017"/>
      <c r="J76" s="708"/>
      <c r="K76" s="709"/>
    </row>
    <row r="77" spans="2:11" ht="30.95" customHeight="1">
      <c r="B77" s="2067"/>
      <c r="C77" s="308" t="s">
        <v>985</v>
      </c>
      <c r="D77" s="2031" t="s">
        <v>462</v>
      </c>
      <c r="E77" s="2032"/>
      <c r="F77" s="2032"/>
      <c r="G77" s="2032"/>
      <c r="H77" s="2017"/>
      <c r="I77" s="2017"/>
      <c r="J77" s="708"/>
      <c r="K77" s="709"/>
    </row>
    <row r="78" spans="2:11" ht="30.95" customHeight="1">
      <c r="B78" s="2033" t="s">
        <v>463</v>
      </c>
      <c r="C78" s="308" t="s">
        <v>78</v>
      </c>
      <c r="D78" s="2053" t="s">
        <v>464</v>
      </c>
      <c r="E78" s="2053"/>
      <c r="F78" s="2053"/>
      <c r="G78" s="2031"/>
      <c r="H78" s="2017" t="s">
        <v>465</v>
      </c>
      <c r="I78" s="2017"/>
      <c r="J78" s="708"/>
      <c r="K78" s="709"/>
    </row>
    <row r="79" spans="2:11" ht="30.95" customHeight="1">
      <c r="B79" s="2034"/>
      <c r="C79" s="308" t="s">
        <v>79</v>
      </c>
      <c r="D79" s="2053" t="s">
        <v>466</v>
      </c>
      <c r="E79" s="2053"/>
      <c r="F79" s="2053"/>
      <c r="G79" s="2031"/>
      <c r="H79" s="2017"/>
      <c r="I79" s="2017"/>
      <c r="J79" s="708"/>
      <c r="K79" s="709"/>
    </row>
    <row r="80" spans="2:11" ht="30.95" customHeight="1">
      <c r="B80" s="2034"/>
      <c r="C80" s="308" t="s">
        <v>80</v>
      </c>
      <c r="D80" s="2053" t="s">
        <v>467</v>
      </c>
      <c r="E80" s="2053"/>
      <c r="F80" s="2053"/>
      <c r="G80" s="2031"/>
      <c r="H80" s="2017"/>
      <c r="I80" s="2017"/>
      <c r="J80" s="708"/>
      <c r="K80" s="709"/>
    </row>
    <row r="81" spans="2:11" ht="30.95" customHeight="1">
      <c r="B81" s="2034"/>
      <c r="C81" s="308" t="s">
        <v>81</v>
      </c>
      <c r="D81" s="2053" t="s">
        <v>468</v>
      </c>
      <c r="E81" s="2053"/>
      <c r="F81" s="2053"/>
      <c r="G81" s="2031"/>
      <c r="H81" s="2017"/>
      <c r="I81" s="2017"/>
      <c r="J81" s="708"/>
      <c r="K81" s="709"/>
    </row>
    <row r="82" spans="2:11" ht="30.95" customHeight="1">
      <c r="B82" s="2034"/>
      <c r="C82" s="308" t="s">
        <v>82</v>
      </c>
      <c r="D82" s="2053" t="s">
        <v>469</v>
      </c>
      <c r="E82" s="2053"/>
      <c r="F82" s="2053"/>
      <c r="G82" s="2031"/>
      <c r="H82" s="2017"/>
      <c r="I82" s="2017"/>
      <c r="J82" s="708"/>
      <c r="K82" s="709"/>
    </row>
    <row r="83" spans="2:11" ht="30.95" customHeight="1">
      <c r="B83" s="2034"/>
      <c r="C83" s="2057" t="s">
        <v>83</v>
      </c>
      <c r="D83" s="2022" t="s">
        <v>470</v>
      </c>
      <c r="E83" s="2023"/>
      <c r="F83" s="2023"/>
      <c r="G83" s="2024"/>
      <c r="H83" s="2033" t="s">
        <v>42</v>
      </c>
      <c r="I83" s="2033"/>
      <c r="J83" s="708"/>
      <c r="K83" s="709"/>
    </row>
    <row r="84" spans="2:11" ht="30.95" customHeight="1">
      <c r="B84" s="2034"/>
      <c r="C84" s="2058"/>
      <c r="D84" s="2025"/>
      <c r="E84" s="2026"/>
      <c r="F84" s="2026"/>
      <c r="G84" s="2027"/>
      <c r="H84" s="2034"/>
      <c r="I84" s="2034"/>
      <c r="J84" s="708"/>
      <c r="K84" s="709"/>
    </row>
    <row r="85" spans="2:11" ht="30.95" customHeight="1">
      <c r="B85" s="2034"/>
      <c r="C85" s="2058"/>
      <c r="D85" s="2025"/>
      <c r="E85" s="2026"/>
      <c r="F85" s="2026"/>
      <c r="G85" s="2027"/>
      <c r="H85" s="2034"/>
      <c r="I85" s="2034"/>
      <c r="J85" s="708"/>
      <c r="K85" s="709"/>
    </row>
    <row r="86" spans="2:11" ht="30.95" customHeight="1">
      <c r="B86" s="2034"/>
      <c r="C86" s="2058"/>
      <c r="D86" s="2025"/>
      <c r="E86" s="2026"/>
      <c r="F86" s="2026"/>
      <c r="G86" s="2027"/>
      <c r="H86" s="2034"/>
      <c r="I86" s="2034"/>
      <c r="J86" s="708"/>
      <c r="K86" s="709"/>
    </row>
    <row r="87" spans="2:11" ht="40.5" customHeight="1">
      <c r="B87" s="2034"/>
      <c r="C87" s="2059"/>
      <c r="D87" s="2028"/>
      <c r="E87" s="2029"/>
      <c r="F87" s="2029"/>
      <c r="G87" s="2030"/>
      <c r="H87" s="2035"/>
      <c r="I87" s="2035"/>
      <c r="J87" s="708"/>
      <c r="K87" s="709"/>
    </row>
    <row r="88" spans="2:11" ht="30.95" customHeight="1">
      <c r="B88" s="2034"/>
      <c r="C88" s="2057" t="s">
        <v>84</v>
      </c>
      <c r="D88" s="2022" t="s">
        <v>216</v>
      </c>
      <c r="E88" s="2023"/>
      <c r="F88" s="2023"/>
      <c r="G88" s="2024"/>
      <c r="H88" s="2033" t="s">
        <v>217</v>
      </c>
      <c r="I88" s="2033"/>
      <c r="J88" s="708"/>
      <c r="K88" s="709"/>
    </row>
    <row r="89" spans="2:11" ht="30.95" customHeight="1">
      <c r="B89" s="2034"/>
      <c r="C89" s="2058"/>
      <c r="D89" s="2025"/>
      <c r="E89" s="2026"/>
      <c r="F89" s="2026"/>
      <c r="G89" s="2027"/>
      <c r="H89" s="2034"/>
      <c r="I89" s="2034"/>
      <c r="J89" s="708"/>
      <c r="K89" s="709"/>
    </row>
    <row r="90" spans="2:11" ht="30.95" customHeight="1">
      <c r="B90" s="2034"/>
      <c r="C90" s="2058"/>
      <c r="D90" s="2025"/>
      <c r="E90" s="2026"/>
      <c r="F90" s="2026"/>
      <c r="G90" s="2027"/>
      <c r="H90" s="2034"/>
      <c r="I90" s="2034"/>
      <c r="J90" s="708"/>
      <c r="K90" s="709"/>
    </row>
    <row r="91" spans="2:11" ht="30.95" customHeight="1">
      <c r="B91" s="2035"/>
      <c r="C91" s="2059"/>
      <c r="D91" s="2028"/>
      <c r="E91" s="2029"/>
      <c r="F91" s="2029"/>
      <c r="G91" s="2030"/>
      <c r="H91" s="2035"/>
      <c r="I91" s="2035"/>
      <c r="J91" s="708"/>
      <c r="K91" s="709"/>
    </row>
    <row r="92" spans="2:11" ht="30.95" customHeight="1">
      <c r="B92" s="2061" t="s">
        <v>441</v>
      </c>
      <c r="C92" s="538" t="s">
        <v>442</v>
      </c>
      <c r="D92" s="2036" t="s">
        <v>443</v>
      </c>
      <c r="E92" s="2036"/>
      <c r="F92" s="2036"/>
      <c r="G92" s="2020"/>
      <c r="H92" s="2017" t="s">
        <v>444</v>
      </c>
      <c r="I92" s="2017"/>
      <c r="J92" s="708"/>
      <c r="K92" s="709"/>
    </row>
    <row r="93" spans="2:11" ht="30.95" customHeight="1">
      <c r="B93" s="2062"/>
      <c r="C93" s="538" t="s">
        <v>629</v>
      </c>
      <c r="D93" s="2036" t="s">
        <v>630</v>
      </c>
      <c r="E93" s="2036"/>
      <c r="F93" s="2036"/>
      <c r="G93" s="2020"/>
      <c r="H93" s="2017"/>
      <c r="I93" s="2017"/>
      <c r="J93" s="708"/>
      <c r="K93" s="709"/>
    </row>
    <row r="94" spans="2:11" ht="30.95" customHeight="1">
      <c r="B94" s="2062"/>
      <c r="C94" s="538" t="s">
        <v>631</v>
      </c>
      <c r="D94" s="2036" t="s">
        <v>632</v>
      </c>
      <c r="E94" s="2036"/>
      <c r="F94" s="2036"/>
      <c r="G94" s="2020"/>
      <c r="H94" s="2017"/>
      <c r="I94" s="2017"/>
      <c r="J94" s="708"/>
      <c r="K94" s="709"/>
    </row>
    <row r="95" spans="2:11" ht="30.95" customHeight="1">
      <c r="B95" s="2062"/>
      <c r="C95" s="538" t="s">
        <v>633</v>
      </c>
      <c r="D95" s="2020" t="s">
        <v>278</v>
      </c>
      <c r="E95" s="2021"/>
      <c r="F95" s="2021"/>
      <c r="G95" s="2021"/>
      <c r="H95" s="2017" t="s">
        <v>698</v>
      </c>
      <c r="I95" s="2017"/>
      <c r="J95" s="708"/>
      <c r="K95" s="709"/>
    </row>
    <row r="96" spans="2:11" ht="30.95" customHeight="1">
      <c r="B96" s="2063"/>
      <c r="C96" s="538" t="s">
        <v>699</v>
      </c>
      <c r="D96" s="2020" t="s">
        <v>269</v>
      </c>
      <c r="E96" s="2021"/>
      <c r="F96" s="2021"/>
      <c r="G96" s="2021"/>
      <c r="H96" s="2017"/>
      <c r="I96" s="2017"/>
      <c r="J96" s="708"/>
      <c r="K96" s="709"/>
    </row>
    <row r="97" spans="2:11" ht="30.95" customHeight="1">
      <c r="B97" s="2033" t="s">
        <v>317</v>
      </c>
      <c r="C97" s="308" t="s">
        <v>85</v>
      </c>
      <c r="D97" s="2053" t="s">
        <v>318</v>
      </c>
      <c r="E97" s="2053"/>
      <c r="F97" s="2053"/>
      <c r="G97" s="2031"/>
      <c r="H97" s="2017" t="s">
        <v>319</v>
      </c>
      <c r="I97" s="2017"/>
      <c r="J97" s="708"/>
      <c r="K97" s="709"/>
    </row>
    <row r="98" spans="2:11" ht="30.95" customHeight="1">
      <c r="B98" s="2034"/>
      <c r="C98" s="308" t="s">
        <v>86</v>
      </c>
      <c r="D98" s="2053" t="s">
        <v>320</v>
      </c>
      <c r="E98" s="2053"/>
      <c r="F98" s="2053"/>
      <c r="G98" s="2031"/>
      <c r="H98" s="2017"/>
      <c r="I98" s="2017"/>
      <c r="J98" s="708"/>
      <c r="K98" s="709"/>
    </row>
    <row r="99" spans="2:11" ht="30.95" customHeight="1">
      <c r="B99" s="2034"/>
      <c r="C99" s="308" t="s">
        <v>87</v>
      </c>
      <c r="D99" s="2053" t="s">
        <v>321</v>
      </c>
      <c r="E99" s="2053"/>
      <c r="F99" s="2053"/>
      <c r="G99" s="2031"/>
      <c r="H99" s="2017"/>
      <c r="I99" s="2017"/>
      <c r="J99" s="708"/>
      <c r="K99" s="709"/>
    </row>
    <row r="100" spans="2:11" ht="30.95" customHeight="1">
      <c r="B100" s="2034"/>
      <c r="C100" s="590" t="s">
        <v>88</v>
      </c>
      <c r="D100" s="2087" t="s">
        <v>338</v>
      </c>
      <c r="E100" s="2087"/>
      <c r="F100" s="2087"/>
      <c r="G100" s="2088"/>
      <c r="H100" s="2017"/>
      <c r="I100" s="2017"/>
      <c r="J100" s="708"/>
      <c r="K100" s="709"/>
    </row>
    <row r="101" spans="2:11" ht="30.95" customHeight="1">
      <c r="B101" s="2034"/>
      <c r="C101" s="2057" t="s">
        <v>245</v>
      </c>
      <c r="D101" s="2045" t="s">
        <v>388</v>
      </c>
      <c r="E101" s="2046"/>
      <c r="F101" s="2046"/>
      <c r="G101" s="2047"/>
      <c r="H101" s="2018" t="s">
        <v>918</v>
      </c>
      <c r="I101" s="2018"/>
      <c r="J101" s="708"/>
      <c r="K101" s="709"/>
    </row>
    <row r="102" spans="2:11" ht="30.95" customHeight="1">
      <c r="B102" s="2034"/>
      <c r="C102" s="2058"/>
      <c r="D102" s="2083"/>
      <c r="E102" s="2084"/>
      <c r="F102" s="2084"/>
      <c r="G102" s="2085"/>
      <c r="H102" s="2086"/>
      <c r="I102" s="2086"/>
      <c r="J102" s="708"/>
      <c r="K102" s="709"/>
    </row>
    <row r="103" spans="2:11" ht="30.95" customHeight="1">
      <c r="B103" s="2034"/>
      <c r="C103" s="2059"/>
      <c r="D103" s="2048"/>
      <c r="E103" s="2049"/>
      <c r="F103" s="2049"/>
      <c r="G103" s="2050"/>
      <c r="H103" s="2019"/>
      <c r="I103" s="2019"/>
      <c r="J103" s="708"/>
      <c r="K103" s="709"/>
    </row>
    <row r="104" spans="2:11" ht="30.95" customHeight="1">
      <c r="B104" s="2034"/>
      <c r="C104" s="2057" t="s">
        <v>246</v>
      </c>
      <c r="D104" s="2045" t="s">
        <v>396</v>
      </c>
      <c r="E104" s="2046"/>
      <c r="F104" s="2046"/>
      <c r="G104" s="2047"/>
      <c r="H104" s="2018" t="s">
        <v>163</v>
      </c>
      <c r="I104" s="2018"/>
      <c r="J104" s="708"/>
      <c r="K104" s="709"/>
    </row>
    <row r="105" spans="2:11" ht="30.95" customHeight="1">
      <c r="B105" s="2034"/>
      <c r="C105" s="2058"/>
      <c r="D105" s="2083"/>
      <c r="E105" s="2084"/>
      <c r="F105" s="2084"/>
      <c r="G105" s="2085"/>
      <c r="H105" s="2086"/>
      <c r="I105" s="2086"/>
      <c r="J105" s="708"/>
      <c r="K105" s="709"/>
    </row>
    <row r="106" spans="2:11" ht="30.95" customHeight="1">
      <c r="B106" s="2035"/>
      <c r="C106" s="2059"/>
      <c r="D106" s="2048"/>
      <c r="E106" s="2049"/>
      <c r="F106" s="2049"/>
      <c r="G106" s="2050"/>
      <c r="H106" s="2019"/>
      <c r="I106" s="2019"/>
      <c r="J106" s="708"/>
      <c r="K106" s="709"/>
    </row>
    <row r="107" spans="2:11" ht="30.95" customHeight="1">
      <c r="B107" s="2033" t="s">
        <v>127</v>
      </c>
      <c r="C107" s="538" t="s">
        <v>128</v>
      </c>
      <c r="D107" s="2036" t="s">
        <v>392</v>
      </c>
      <c r="E107" s="2036"/>
      <c r="F107" s="2036"/>
      <c r="G107" s="2020"/>
      <c r="H107" s="2017" t="s">
        <v>16</v>
      </c>
      <c r="I107" s="2017"/>
      <c r="J107" s="710" t="s">
        <v>445</v>
      </c>
      <c r="K107" s="709"/>
    </row>
    <row r="108" spans="2:11" ht="30.95" customHeight="1">
      <c r="B108" s="2034"/>
      <c r="C108" s="538" t="s">
        <v>17</v>
      </c>
      <c r="D108" s="2036" t="s">
        <v>47</v>
      </c>
      <c r="E108" s="2036"/>
      <c r="F108" s="2036"/>
      <c r="G108" s="2020"/>
      <c r="H108" s="2017"/>
      <c r="I108" s="2017"/>
      <c r="J108" s="710" t="s">
        <v>445</v>
      </c>
      <c r="K108" s="709"/>
    </row>
    <row r="109" spans="2:11" ht="30.95" customHeight="1">
      <c r="B109" s="2034"/>
      <c r="C109" s="538" t="s">
        <v>48</v>
      </c>
      <c r="D109" s="2036" t="s">
        <v>19</v>
      </c>
      <c r="E109" s="2036"/>
      <c r="F109" s="2036"/>
      <c r="G109" s="2020"/>
      <c r="H109" s="2017"/>
      <c r="I109" s="2017"/>
      <c r="J109" s="710" t="s">
        <v>445</v>
      </c>
      <c r="K109" s="709"/>
    </row>
    <row r="110" spans="2:11" ht="30.95" customHeight="1">
      <c r="B110" s="2034"/>
      <c r="C110" s="2037" t="s">
        <v>20</v>
      </c>
      <c r="D110" s="2039" t="s">
        <v>924</v>
      </c>
      <c r="E110" s="2040"/>
      <c r="F110" s="2040"/>
      <c r="G110" s="2041"/>
      <c r="H110" s="2033" t="s">
        <v>21</v>
      </c>
      <c r="I110" s="2033"/>
      <c r="J110" s="710" t="s">
        <v>445</v>
      </c>
      <c r="K110" s="709"/>
    </row>
    <row r="111" spans="2:11" ht="30.95" customHeight="1">
      <c r="B111" s="2034"/>
      <c r="C111" s="2038"/>
      <c r="D111" s="2042"/>
      <c r="E111" s="2043"/>
      <c r="F111" s="2043"/>
      <c r="G111" s="2044"/>
      <c r="H111" s="2035"/>
      <c r="I111" s="2035"/>
      <c r="J111" s="710" t="s">
        <v>445</v>
      </c>
      <c r="K111" s="709"/>
    </row>
    <row r="112" spans="2:11" ht="30.95" customHeight="1">
      <c r="B112" s="2034"/>
      <c r="C112" s="2037" t="s">
        <v>22</v>
      </c>
      <c r="D112" s="2045" t="s">
        <v>926</v>
      </c>
      <c r="E112" s="2046"/>
      <c r="F112" s="2046"/>
      <c r="G112" s="2047"/>
      <c r="H112" s="2018" t="s">
        <v>627</v>
      </c>
      <c r="I112" s="2018"/>
      <c r="J112" s="710" t="s">
        <v>445</v>
      </c>
      <c r="K112" s="709"/>
    </row>
    <row r="113" spans="2:11" ht="30.95" customHeight="1">
      <c r="B113" s="2034"/>
      <c r="C113" s="2038"/>
      <c r="D113" s="2048"/>
      <c r="E113" s="2049"/>
      <c r="F113" s="2049"/>
      <c r="G113" s="2050"/>
      <c r="H113" s="2019"/>
      <c r="I113" s="2019"/>
      <c r="J113" s="710" t="s">
        <v>445</v>
      </c>
      <c r="K113" s="709"/>
    </row>
    <row r="114" spans="2:11" ht="30.95" customHeight="1">
      <c r="B114" s="2034"/>
      <c r="C114" s="538" t="s">
        <v>23</v>
      </c>
      <c r="D114" s="2020" t="s">
        <v>24</v>
      </c>
      <c r="E114" s="2021"/>
      <c r="F114" s="2021"/>
      <c r="G114" s="2021"/>
      <c r="H114" s="2017" t="s">
        <v>25</v>
      </c>
      <c r="I114" s="2017"/>
      <c r="J114" s="710" t="s">
        <v>445</v>
      </c>
      <c r="K114" s="709"/>
    </row>
    <row r="115" spans="2:11" ht="30.95" customHeight="1">
      <c r="B115" s="2035"/>
      <c r="C115" s="538" t="s">
        <v>26</v>
      </c>
      <c r="D115" s="2020" t="s">
        <v>38</v>
      </c>
      <c r="E115" s="2021"/>
      <c r="F115" s="2021"/>
      <c r="G115" s="2021"/>
      <c r="H115" s="2017"/>
      <c r="I115" s="2017"/>
      <c r="J115" s="710" t="s">
        <v>445</v>
      </c>
      <c r="K115" s="709"/>
    </row>
    <row r="116" spans="2:11" ht="30.95" hidden="1" customHeight="1">
      <c r="B116" s="2033" t="s">
        <v>446</v>
      </c>
      <c r="C116" s="538" t="s">
        <v>128</v>
      </c>
      <c r="D116" s="2036" t="s">
        <v>447</v>
      </c>
      <c r="E116" s="2036"/>
      <c r="F116" s="2036"/>
      <c r="G116" s="2020"/>
      <c r="H116" s="2017" t="s">
        <v>190</v>
      </c>
      <c r="I116" s="2017"/>
      <c r="J116" s="711" t="s">
        <v>613</v>
      </c>
      <c r="K116" s="709"/>
    </row>
    <row r="117" spans="2:11" ht="30.95" hidden="1" customHeight="1">
      <c r="B117" s="2034"/>
      <c r="C117" s="538" t="s">
        <v>17</v>
      </c>
      <c r="D117" s="2036" t="s">
        <v>448</v>
      </c>
      <c r="E117" s="2036"/>
      <c r="F117" s="2036"/>
      <c r="G117" s="2020"/>
      <c r="H117" s="2017"/>
      <c r="I117" s="2017"/>
      <c r="J117" s="711" t="s">
        <v>613</v>
      </c>
      <c r="K117" s="709"/>
    </row>
    <row r="118" spans="2:11" ht="30.95" hidden="1" customHeight="1">
      <c r="B118" s="2034"/>
      <c r="C118" s="538" t="s">
        <v>48</v>
      </c>
      <c r="D118" s="2036" t="s">
        <v>449</v>
      </c>
      <c r="E118" s="2036"/>
      <c r="F118" s="2036"/>
      <c r="G118" s="2020"/>
      <c r="H118" s="2017"/>
      <c r="I118" s="2017"/>
      <c r="J118" s="711" t="s">
        <v>613</v>
      </c>
      <c r="K118" s="709"/>
    </row>
    <row r="119" spans="2:11" ht="30.95" hidden="1" customHeight="1">
      <c r="B119" s="2034"/>
      <c r="C119" s="2037" t="s">
        <v>20</v>
      </c>
      <c r="D119" s="2039" t="s">
        <v>924</v>
      </c>
      <c r="E119" s="2040"/>
      <c r="F119" s="2040"/>
      <c r="G119" s="2041"/>
      <c r="H119" s="2033" t="s">
        <v>191</v>
      </c>
      <c r="I119" s="2033"/>
      <c r="J119" s="711" t="s">
        <v>613</v>
      </c>
      <c r="K119" s="709"/>
    </row>
    <row r="120" spans="2:11" ht="30.95" hidden="1" customHeight="1">
      <c r="B120" s="2034"/>
      <c r="C120" s="2038"/>
      <c r="D120" s="2042"/>
      <c r="E120" s="2043"/>
      <c r="F120" s="2043"/>
      <c r="G120" s="2044"/>
      <c r="H120" s="2035"/>
      <c r="I120" s="2035"/>
      <c r="J120" s="711" t="s">
        <v>613</v>
      </c>
      <c r="K120" s="709"/>
    </row>
    <row r="121" spans="2:11" ht="30.95" hidden="1" customHeight="1">
      <c r="B121" s="2034"/>
      <c r="C121" s="2037" t="s">
        <v>22</v>
      </c>
      <c r="D121" s="2045" t="s">
        <v>926</v>
      </c>
      <c r="E121" s="2046"/>
      <c r="F121" s="2046"/>
      <c r="G121" s="2047"/>
      <c r="H121" s="2018" t="s">
        <v>627</v>
      </c>
      <c r="I121" s="2018"/>
      <c r="J121" s="711" t="s">
        <v>613</v>
      </c>
      <c r="K121" s="709"/>
    </row>
    <row r="122" spans="2:11" ht="30.95" hidden="1" customHeight="1">
      <c r="B122" s="2034"/>
      <c r="C122" s="2038"/>
      <c r="D122" s="2048"/>
      <c r="E122" s="2049"/>
      <c r="F122" s="2049"/>
      <c r="G122" s="2050"/>
      <c r="H122" s="2019"/>
      <c r="I122" s="2019"/>
      <c r="J122" s="711" t="s">
        <v>613</v>
      </c>
      <c r="K122" s="709"/>
    </row>
    <row r="123" spans="2:11" ht="30.95" hidden="1" customHeight="1">
      <c r="B123" s="2034"/>
      <c r="C123" s="538" t="s">
        <v>23</v>
      </c>
      <c r="D123" s="2020" t="s">
        <v>450</v>
      </c>
      <c r="E123" s="2021"/>
      <c r="F123" s="2021"/>
      <c r="G123" s="2021"/>
      <c r="H123" s="2017" t="s">
        <v>461</v>
      </c>
      <c r="I123" s="2017"/>
      <c r="J123" s="711" t="s">
        <v>613</v>
      </c>
      <c r="K123" s="709"/>
    </row>
    <row r="124" spans="2:11" ht="30.95" hidden="1" customHeight="1">
      <c r="B124" s="2035"/>
      <c r="C124" s="538" t="s">
        <v>26</v>
      </c>
      <c r="D124" s="2020" t="s">
        <v>189</v>
      </c>
      <c r="E124" s="2021"/>
      <c r="F124" s="2021"/>
      <c r="G124" s="2021"/>
      <c r="H124" s="2017"/>
      <c r="I124" s="2017"/>
      <c r="J124" s="711" t="s">
        <v>613</v>
      </c>
      <c r="K124" s="709"/>
    </row>
    <row r="125" spans="2:11" ht="30.95" customHeight="1">
      <c r="B125" s="2033" t="s">
        <v>628</v>
      </c>
      <c r="C125" s="308" t="s">
        <v>673</v>
      </c>
      <c r="D125" s="2053" t="s">
        <v>519</v>
      </c>
      <c r="E125" s="2053"/>
      <c r="F125" s="2053"/>
      <c r="G125" s="2031"/>
      <c r="H125" s="2017" t="s">
        <v>520</v>
      </c>
      <c r="I125" s="2017"/>
      <c r="J125" s="708"/>
      <c r="K125" s="709"/>
    </row>
    <row r="126" spans="2:11" ht="30.95" customHeight="1">
      <c r="B126" s="2034"/>
      <c r="C126" s="308" t="s">
        <v>674</v>
      </c>
      <c r="D126" s="2053" t="s">
        <v>521</v>
      </c>
      <c r="E126" s="2053"/>
      <c r="F126" s="2053"/>
      <c r="G126" s="2031"/>
      <c r="H126" s="2017"/>
      <c r="I126" s="2017"/>
      <c r="J126" s="708"/>
      <c r="K126" s="709"/>
    </row>
    <row r="127" spans="2:11" ht="30.95" customHeight="1">
      <c r="B127" s="2034"/>
      <c r="C127" s="308" t="s">
        <v>890</v>
      </c>
      <c r="D127" s="2053" t="s">
        <v>522</v>
      </c>
      <c r="E127" s="2053"/>
      <c r="F127" s="2053"/>
      <c r="G127" s="2031"/>
      <c r="H127" s="2017"/>
      <c r="I127" s="2017"/>
      <c r="J127" s="708"/>
      <c r="K127" s="709"/>
    </row>
    <row r="128" spans="2:11" ht="30.95" customHeight="1">
      <c r="B128" s="2034"/>
      <c r="C128" s="308" t="s">
        <v>891</v>
      </c>
      <c r="D128" s="2017" t="s">
        <v>924</v>
      </c>
      <c r="E128" s="2017"/>
      <c r="F128" s="2017"/>
      <c r="G128" s="2014"/>
      <c r="H128" s="2017" t="s">
        <v>367</v>
      </c>
      <c r="I128" s="2017"/>
      <c r="J128" s="708"/>
      <c r="K128" s="709"/>
    </row>
    <row r="129" spans="2:11" ht="30.95" customHeight="1">
      <c r="B129" s="2034"/>
      <c r="C129" s="2057" t="s">
        <v>892</v>
      </c>
      <c r="D129" s="2045" t="s">
        <v>926</v>
      </c>
      <c r="E129" s="2046"/>
      <c r="F129" s="2046"/>
      <c r="G129" s="2047"/>
      <c r="H129" s="2018" t="s">
        <v>935</v>
      </c>
      <c r="I129" s="2018"/>
      <c r="J129" s="708"/>
      <c r="K129" s="709"/>
    </row>
    <row r="130" spans="2:11" ht="30.95" customHeight="1">
      <c r="B130" s="2034"/>
      <c r="C130" s="2059"/>
      <c r="D130" s="2048"/>
      <c r="E130" s="2049"/>
      <c r="F130" s="2049"/>
      <c r="G130" s="2050"/>
      <c r="H130" s="2019"/>
      <c r="I130" s="2019"/>
      <c r="J130" s="708"/>
      <c r="K130" s="709"/>
    </row>
    <row r="131" spans="2:11" ht="30.95" customHeight="1">
      <c r="B131" s="2034"/>
      <c r="C131" s="308" t="s">
        <v>893</v>
      </c>
      <c r="D131" s="2031" t="s">
        <v>936</v>
      </c>
      <c r="E131" s="2032"/>
      <c r="F131" s="2032"/>
      <c r="G131" s="2032"/>
      <c r="H131" s="2017" t="s">
        <v>461</v>
      </c>
      <c r="I131" s="2017"/>
      <c r="J131" s="708"/>
      <c r="K131" s="709"/>
    </row>
    <row r="132" spans="2:11" ht="30.95" customHeight="1">
      <c r="B132" s="2035"/>
      <c r="C132" s="308" t="s">
        <v>894</v>
      </c>
      <c r="D132" s="2031" t="s">
        <v>592</v>
      </c>
      <c r="E132" s="2032"/>
      <c r="F132" s="2032"/>
      <c r="G132" s="2032"/>
      <c r="H132" s="2017"/>
      <c r="I132" s="2017"/>
      <c r="J132" s="708"/>
      <c r="K132" s="709"/>
    </row>
    <row r="133" spans="2:11" ht="30.95" customHeight="1">
      <c r="B133" s="2033" t="s">
        <v>593</v>
      </c>
      <c r="C133" s="2057" t="s">
        <v>895</v>
      </c>
      <c r="D133" s="2022" t="s">
        <v>594</v>
      </c>
      <c r="E133" s="2023"/>
      <c r="F133" s="2023"/>
      <c r="G133" s="2024"/>
      <c r="H133" s="2033" t="s">
        <v>886</v>
      </c>
      <c r="I133" s="2033"/>
      <c r="J133" s="708"/>
      <c r="K133" s="709"/>
    </row>
    <row r="134" spans="2:11" ht="30.95" customHeight="1">
      <c r="B134" s="2034"/>
      <c r="C134" s="2058"/>
      <c r="D134" s="2025"/>
      <c r="E134" s="2026"/>
      <c r="F134" s="2026"/>
      <c r="G134" s="2027"/>
      <c r="H134" s="2034"/>
      <c r="I134" s="2034"/>
      <c r="J134" s="708"/>
      <c r="K134" s="709"/>
    </row>
    <row r="135" spans="2:11" ht="30.95" customHeight="1">
      <c r="B135" s="2034"/>
      <c r="C135" s="2059"/>
      <c r="D135" s="2028"/>
      <c r="E135" s="2029"/>
      <c r="F135" s="2029"/>
      <c r="G135" s="2030"/>
      <c r="H135" s="2035"/>
      <c r="I135" s="2035"/>
      <c r="J135" s="708"/>
      <c r="K135" s="709"/>
    </row>
    <row r="136" spans="2:11" ht="30.95" customHeight="1">
      <c r="B136" s="2034"/>
      <c r="C136" s="159" t="s">
        <v>69</v>
      </c>
      <c r="D136" s="2031" t="s">
        <v>595</v>
      </c>
      <c r="E136" s="2032"/>
      <c r="F136" s="2032"/>
      <c r="G136" s="2032"/>
      <c r="H136" s="2017" t="s">
        <v>1</v>
      </c>
      <c r="I136" s="2017"/>
      <c r="J136" s="708"/>
      <c r="K136" s="709"/>
    </row>
    <row r="137" spans="2:11" ht="30.95" customHeight="1">
      <c r="B137" s="2034"/>
      <c r="C137" s="159" t="s">
        <v>70</v>
      </c>
      <c r="D137" s="2031" t="s">
        <v>717</v>
      </c>
      <c r="E137" s="2032"/>
      <c r="F137" s="2032"/>
      <c r="G137" s="2032"/>
      <c r="H137" s="2017" t="s">
        <v>712</v>
      </c>
      <c r="I137" s="2017"/>
      <c r="J137" s="708"/>
      <c r="K137" s="709"/>
    </row>
    <row r="138" spans="2:11" ht="30.95" customHeight="1">
      <c r="B138" s="2034"/>
      <c r="C138" s="2060" t="s">
        <v>71</v>
      </c>
      <c r="D138" s="2017" t="s">
        <v>713</v>
      </c>
      <c r="E138" s="2017"/>
      <c r="F138" s="2017"/>
      <c r="G138" s="2017"/>
      <c r="H138" s="2017" t="s">
        <v>714</v>
      </c>
      <c r="I138" s="2017"/>
      <c r="J138" s="708"/>
      <c r="K138" s="709"/>
    </row>
    <row r="139" spans="2:11" ht="30.95" customHeight="1">
      <c r="B139" s="2035"/>
      <c r="C139" s="1971"/>
      <c r="D139" s="2017"/>
      <c r="E139" s="2017"/>
      <c r="F139" s="2017"/>
      <c r="G139" s="2017"/>
      <c r="H139" s="2017"/>
      <c r="I139" s="2017"/>
      <c r="J139" s="708"/>
      <c r="K139" s="709"/>
    </row>
    <row r="140" spans="2:11" ht="30.75" customHeight="1">
      <c r="B140" s="2056" t="s">
        <v>877</v>
      </c>
      <c r="C140" s="2060" t="s">
        <v>72</v>
      </c>
      <c r="D140" s="2056" t="s">
        <v>395</v>
      </c>
      <c r="E140" s="2056"/>
      <c r="F140" s="2056"/>
      <c r="G140" s="2056"/>
      <c r="H140" s="2055" t="s">
        <v>184</v>
      </c>
      <c r="I140" s="2055"/>
      <c r="J140" s="708"/>
      <c r="K140" s="709"/>
    </row>
    <row r="141" spans="2:11" ht="30.75" customHeight="1">
      <c r="B141" s="2056"/>
      <c r="C141" s="1971"/>
      <c r="D141" s="2056"/>
      <c r="E141" s="2056"/>
      <c r="F141" s="2056"/>
      <c r="G141" s="2056"/>
      <c r="H141" s="2055"/>
      <c r="I141" s="2055"/>
      <c r="J141" s="708"/>
      <c r="K141" s="709"/>
    </row>
    <row r="142" spans="2:11" ht="30.75" customHeight="1">
      <c r="B142" s="2056"/>
      <c r="C142" s="1971"/>
      <c r="D142" s="2056"/>
      <c r="E142" s="2056"/>
      <c r="F142" s="2056"/>
      <c r="G142" s="2056"/>
      <c r="H142" s="2055"/>
      <c r="I142" s="2055"/>
      <c r="J142" s="708"/>
      <c r="K142" s="709"/>
    </row>
    <row r="143" spans="2:11" ht="30.75" customHeight="1">
      <c r="B143" s="2056"/>
      <c r="C143" s="2060" t="s">
        <v>73</v>
      </c>
      <c r="D143" s="2056" t="s">
        <v>196</v>
      </c>
      <c r="E143" s="2056"/>
      <c r="F143" s="2056"/>
      <c r="G143" s="2056"/>
      <c r="H143" s="2054" t="s">
        <v>183</v>
      </c>
      <c r="I143" s="2054"/>
      <c r="J143" s="708"/>
      <c r="K143" s="709"/>
    </row>
    <row r="144" spans="2:11" ht="30.75" customHeight="1">
      <c r="B144" s="2056"/>
      <c r="C144" s="1971"/>
      <c r="D144" s="2056"/>
      <c r="E144" s="2056"/>
      <c r="F144" s="2056"/>
      <c r="G144" s="2056"/>
      <c r="H144" s="2054"/>
      <c r="I144" s="2054"/>
      <c r="J144" s="708"/>
      <c r="K144" s="709"/>
    </row>
    <row r="145" spans="2:11" ht="30.75" customHeight="1">
      <c r="B145" s="2056"/>
      <c r="C145" s="1971"/>
      <c r="D145" s="2056"/>
      <c r="E145" s="2056"/>
      <c r="F145" s="2056"/>
      <c r="G145" s="2056"/>
      <c r="H145" s="2054"/>
      <c r="I145" s="2054"/>
      <c r="J145" s="708"/>
      <c r="K145" s="709"/>
    </row>
    <row r="146" spans="2:11" ht="231.75" customHeight="1">
      <c r="B146" s="530" t="s">
        <v>211</v>
      </c>
      <c r="C146" s="538" t="s">
        <v>39</v>
      </c>
      <c r="D146" s="2020" t="s">
        <v>357</v>
      </c>
      <c r="E146" s="2021"/>
      <c r="F146" s="2021"/>
      <c r="G146" s="2021"/>
      <c r="H146" s="2017" t="s">
        <v>671</v>
      </c>
      <c r="I146" s="2017"/>
      <c r="J146" s="712"/>
      <c r="K146" s="709"/>
    </row>
    <row r="147" spans="2:11" ht="49.5" customHeight="1">
      <c r="B147" s="311" t="s">
        <v>881</v>
      </c>
      <c r="C147" s="308" t="s">
        <v>928</v>
      </c>
      <c r="D147" s="2014" t="s">
        <v>883</v>
      </c>
      <c r="E147" s="2015"/>
      <c r="F147" s="2015"/>
      <c r="G147" s="2016"/>
      <c r="H147" s="2017" t="s">
        <v>882</v>
      </c>
      <c r="I147" s="2017"/>
      <c r="J147" s="708"/>
      <c r="K147" s="709"/>
    </row>
  </sheetData>
  <sheetProtection algorithmName="SHA-512" hashValue="Qq+PdYmh68J5F6AtNsoMNTAFUi6dzN69vTG6ilzrT9b0L1HVBsLFJaj92EUm1FeLXWNTwn3B33O2dj0pLhAVzg==" saltValue="1AtPRRqAVNykCd4/ScWfzA==" spinCount="100000" sheet="1" objects="1" scenarios="1"/>
  <mergeCells count="209">
    <mergeCell ref="B125:B132"/>
    <mergeCell ref="D125:G125"/>
    <mergeCell ref="H125:I127"/>
    <mergeCell ref="D126:G126"/>
    <mergeCell ref="D127:G127"/>
    <mergeCell ref="D128:G128"/>
    <mergeCell ref="C129:C130"/>
    <mergeCell ref="H128:I128"/>
    <mergeCell ref="H129:I130"/>
    <mergeCell ref="D129:G130"/>
    <mergeCell ref="H131:I132"/>
    <mergeCell ref="D132:G132"/>
    <mergeCell ref="B97:B106"/>
    <mergeCell ref="D97:G97"/>
    <mergeCell ref="H97:I100"/>
    <mergeCell ref="D98:G98"/>
    <mergeCell ref="D99:G99"/>
    <mergeCell ref="D100:G100"/>
    <mergeCell ref="C101:C103"/>
    <mergeCell ref="B107:B115"/>
    <mergeCell ref="D107:G107"/>
    <mergeCell ref="H107:I109"/>
    <mergeCell ref="D108:G108"/>
    <mergeCell ref="D109:G109"/>
    <mergeCell ref="H112:I113"/>
    <mergeCell ref="C110:C111"/>
    <mergeCell ref="D110:G111"/>
    <mergeCell ref="D114:G114"/>
    <mergeCell ref="H114:I115"/>
    <mergeCell ref="D101:G103"/>
    <mergeCell ref="H101:I103"/>
    <mergeCell ref="D115:G115"/>
    <mergeCell ref="D112:G113"/>
    <mergeCell ref="H110:I111"/>
    <mergeCell ref="C112:C113"/>
    <mergeCell ref="C88:C91"/>
    <mergeCell ref="D88:G91"/>
    <mergeCell ref="H88:I91"/>
    <mergeCell ref="C104:C106"/>
    <mergeCell ref="D104:G106"/>
    <mergeCell ref="H104:I106"/>
    <mergeCell ref="D82:G82"/>
    <mergeCell ref="B78:B91"/>
    <mergeCell ref="D78:G78"/>
    <mergeCell ref="H78:I82"/>
    <mergeCell ref="D79:G79"/>
    <mergeCell ref="D80:G80"/>
    <mergeCell ref="D81:G81"/>
    <mergeCell ref="C83:C87"/>
    <mergeCell ref="B92:B96"/>
    <mergeCell ref="D92:G92"/>
    <mergeCell ref="H92:I94"/>
    <mergeCell ref="D93:G93"/>
    <mergeCell ref="D94:G94"/>
    <mergeCell ref="D95:G95"/>
    <mergeCell ref="H95:I96"/>
    <mergeCell ref="D83:G87"/>
    <mergeCell ref="H83:I87"/>
    <mergeCell ref="D96:G96"/>
    <mergeCell ref="D68:G68"/>
    <mergeCell ref="D69:G69"/>
    <mergeCell ref="B71:B77"/>
    <mergeCell ref="D71:G71"/>
    <mergeCell ref="H71:I73"/>
    <mergeCell ref="D72:G72"/>
    <mergeCell ref="D73:G73"/>
    <mergeCell ref="D74:G74"/>
    <mergeCell ref="H74:I74"/>
    <mergeCell ref="D75:G75"/>
    <mergeCell ref="H75:I75"/>
    <mergeCell ref="D76:G76"/>
    <mergeCell ref="H76:I77"/>
    <mergeCell ref="D77:G77"/>
    <mergeCell ref="H57:I58"/>
    <mergeCell ref="D58:G58"/>
    <mergeCell ref="H54:I56"/>
    <mergeCell ref="B66:B70"/>
    <mergeCell ref="D66:G66"/>
    <mergeCell ref="H59:I63"/>
    <mergeCell ref="D60:G60"/>
    <mergeCell ref="D61:G61"/>
    <mergeCell ref="D62:G62"/>
    <mergeCell ref="D63:G63"/>
    <mergeCell ref="B59:B65"/>
    <mergeCell ref="D59:G59"/>
    <mergeCell ref="D64:G64"/>
    <mergeCell ref="D57:G57"/>
    <mergeCell ref="B54:B58"/>
    <mergeCell ref="D54:G54"/>
    <mergeCell ref="D55:G55"/>
    <mergeCell ref="D56:G56"/>
    <mergeCell ref="H64:I65"/>
    <mergeCell ref="D65:G65"/>
    <mergeCell ref="H69:I70"/>
    <mergeCell ref="D70:G70"/>
    <mergeCell ref="H66:I68"/>
    <mergeCell ref="D67:G67"/>
    <mergeCell ref="D48:G48"/>
    <mergeCell ref="B47:B53"/>
    <mergeCell ref="D47:G47"/>
    <mergeCell ref="D52:G52"/>
    <mergeCell ref="D44:G44"/>
    <mergeCell ref="D49:G49"/>
    <mergeCell ref="D50:G50"/>
    <mergeCell ref="H52:I53"/>
    <mergeCell ref="D45:G45"/>
    <mergeCell ref="H45:I45"/>
    <mergeCell ref="D46:G46"/>
    <mergeCell ref="H46:I46"/>
    <mergeCell ref="H47:I51"/>
    <mergeCell ref="D51:G51"/>
    <mergeCell ref="D53:G53"/>
    <mergeCell ref="H43:I44"/>
    <mergeCell ref="D43:G43"/>
    <mergeCell ref="H38:I42"/>
    <mergeCell ref="D39:G39"/>
    <mergeCell ref="D40:G40"/>
    <mergeCell ref="D41:G41"/>
    <mergeCell ref="D42:G42"/>
    <mergeCell ref="B38:B44"/>
    <mergeCell ref="D38:G38"/>
    <mergeCell ref="B27:B37"/>
    <mergeCell ref="D27:G27"/>
    <mergeCell ref="H27:I31"/>
    <mergeCell ref="D28:G28"/>
    <mergeCell ref="D29:G29"/>
    <mergeCell ref="D30:G30"/>
    <mergeCell ref="D31:G31"/>
    <mergeCell ref="C32:C34"/>
    <mergeCell ref="D32:G34"/>
    <mergeCell ref="H32:I34"/>
    <mergeCell ref="C35:C37"/>
    <mergeCell ref="D35:G37"/>
    <mergeCell ref="H35:I37"/>
    <mergeCell ref="B19:B25"/>
    <mergeCell ref="D19:G19"/>
    <mergeCell ref="H19:I23"/>
    <mergeCell ref="D20:G20"/>
    <mergeCell ref="D21:G21"/>
    <mergeCell ref="D22:G22"/>
    <mergeCell ref="D23:G23"/>
    <mergeCell ref="D24:G24"/>
    <mergeCell ref="H24:I25"/>
    <mergeCell ref="D25:G25"/>
    <mergeCell ref="B12:B18"/>
    <mergeCell ref="D12:G12"/>
    <mergeCell ref="H12:I16"/>
    <mergeCell ref="D13:G13"/>
    <mergeCell ref="D14:G14"/>
    <mergeCell ref="D15:G15"/>
    <mergeCell ref="D17:G17"/>
    <mergeCell ref="H17:I18"/>
    <mergeCell ref="D18:G18"/>
    <mergeCell ref="D16:G16"/>
    <mergeCell ref="B8:B11"/>
    <mergeCell ref="D8:G8"/>
    <mergeCell ref="B1:I1"/>
    <mergeCell ref="B4:B7"/>
    <mergeCell ref="D4:G4"/>
    <mergeCell ref="H4:I6"/>
    <mergeCell ref="D5:G5"/>
    <mergeCell ref="D6:G6"/>
    <mergeCell ref="D7:G7"/>
    <mergeCell ref="D3:G3"/>
    <mergeCell ref="H3:I3"/>
    <mergeCell ref="D26:G26"/>
    <mergeCell ref="H26:I26"/>
    <mergeCell ref="H7:I7"/>
    <mergeCell ref="H8:I10"/>
    <mergeCell ref="D9:G9"/>
    <mergeCell ref="D10:G10"/>
    <mergeCell ref="H11:I11"/>
    <mergeCell ref="B133:B139"/>
    <mergeCell ref="H143:I145"/>
    <mergeCell ref="H140:I142"/>
    <mergeCell ref="D140:G142"/>
    <mergeCell ref="D143:G145"/>
    <mergeCell ref="C133:C135"/>
    <mergeCell ref="C143:C145"/>
    <mergeCell ref="B140:B145"/>
    <mergeCell ref="C140:C142"/>
    <mergeCell ref="H133:I135"/>
    <mergeCell ref="C138:C139"/>
    <mergeCell ref="D138:G139"/>
    <mergeCell ref="H138:I139"/>
    <mergeCell ref="D136:G136"/>
    <mergeCell ref="H136:I136"/>
    <mergeCell ref="D137:G137"/>
    <mergeCell ref="H137:I137"/>
    <mergeCell ref="B116:B124"/>
    <mergeCell ref="D116:G116"/>
    <mergeCell ref="H116:I118"/>
    <mergeCell ref="D117:G117"/>
    <mergeCell ref="D118:G118"/>
    <mergeCell ref="C119:C120"/>
    <mergeCell ref="D119:G120"/>
    <mergeCell ref="H119:I120"/>
    <mergeCell ref="C121:C122"/>
    <mergeCell ref="D121:G122"/>
    <mergeCell ref="D147:G147"/>
    <mergeCell ref="H147:I147"/>
    <mergeCell ref="H121:I122"/>
    <mergeCell ref="D123:G123"/>
    <mergeCell ref="H123:I124"/>
    <mergeCell ref="D124:G124"/>
    <mergeCell ref="D146:G146"/>
    <mergeCell ref="H146:I146"/>
    <mergeCell ref="D133:G135"/>
    <mergeCell ref="D131:G131"/>
  </mergeCells>
  <phoneticPr fontId="5"/>
  <pageMargins left="0.75" right="0.75" top="0.69" bottom="0.63" header="0.51200000000000001" footer="0.51200000000000001"/>
  <pageSetup paperSize="8" scale="80" orientation="portrait" r:id="rId1"/>
  <headerFooter alignWithMargins="0">
    <oddHeader>&amp;L&amp;A</oddHeader>
    <oddFooter>&amp;C&amp;P/&amp;N</oddFooter>
  </headerFooter>
  <rowBreaks count="3" manualBreakCount="3">
    <brk id="37" min="1" max="8" man="1"/>
    <brk id="70" min="1" max="8" man="1"/>
    <brk id="106" min="1" max="8" man="1"/>
  </rowBreaks>
  <colBreaks count="1" manualBreakCount="1">
    <brk id="9"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352A-A4A8-47CC-8ACD-BD34DA671985}">
  <sheetPr>
    <pageSetUpPr fitToPage="1"/>
  </sheetPr>
  <dimension ref="B3:H18"/>
  <sheetViews>
    <sheetView showGridLines="0" zoomScale="80" zoomScaleNormal="80" workbookViewId="0">
      <selection activeCell="H5" sqref="H5"/>
    </sheetView>
  </sheetViews>
  <sheetFormatPr defaultColWidth="9" defaultRowHeight="13.5"/>
  <cols>
    <col min="1" max="2" width="3.875" style="1697" customWidth="1"/>
    <col min="3" max="3" width="10" style="1694" bestFit="1" customWidth="1"/>
    <col min="4" max="4" width="27" style="1697" bestFit="1" customWidth="1"/>
    <col min="5" max="5" width="77.625" style="1697" customWidth="1"/>
    <col min="6" max="7" width="15.625" style="1697" customWidth="1"/>
    <col min="8" max="8" width="39" style="1697" customWidth="1"/>
    <col min="9" max="16384" width="9" style="1697"/>
  </cols>
  <sheetData>
    <row r="3" spans="2:8" s="1694" customFormat="1" ht="30" customHeight="1">
      <c r="B3" s="1692"/>
      <c r="C3" s="1693" t="s">
        <v>5453</v>
      </c>
      <c r="D3" s="1693" t="s">
        <v>5454</v>
      </c>
      <c r="E3" s="1693" t="s">
        <v>5455</v>
      </c>
      <c r="F3" s="1693" t="s">
        <v>5456</v>
      </c>
      <c r="G3" s="1693" t="s">
        <v>5457</v>
      </c>
      <c r="H3" s="1693" t="s">
        <v>5458</v>
      </c>
    </row>
    <row r="4" spans="2:8" ht="20.100000000000001" customHeight="1">
      <c r="B4" s="1695">
        <v>1</v>
      </c>
      <c r="C4" s="1692">
        <v>20.02</v>
      </c>
      <c r="D4" s="1695" t="s">
        <v>141</v>
      </c>
      <c r="E4" s="1695"/>
      <c r="F4" s="1696" t="s">
        <v>5416</v>
      </c>
      <c r="G4" s="1696" t="s">
        <v>5459</v>
      </c>
      <c r="H4" s="1695" t="s">
        <v>5460</v>
      </c>
    </row>
    <row r="5" spans="2:8" ht="19.5" customHeight="1">
      <c r="B5" s="1695">
        <v>2</v>
      </c>
      <c r="C5" s="1692"/>
      <c r="D5" s="1695"/>
      <c r="E5" s="1695"/>
      <c r="F5" s="1696"/>
      <c r="G5" s="1696"/>
      <c r="H5" s="1695"/>
    </row>
    <row r="6" spans="2:8" ht="20.100000000000001" customHeight="1">
      <c r="B6" s="1695">
        <v>3</v>
      </c>
      <c r="C6" s="1692"/>
      <c r="D6" s="1695"/>
      <c r="E6" s="1695"/>
      <c r="F6" s="1696"/>
      <c r="G6" s="1696"/>
      <c r="H6" s="1695"/>
    </row>
    <row r="7" spans="2:8" ht="19.5" customHeight="1">
      <c r="B7" s="1695">
        <v>4</v>
      </c>
      <c r="C7" s="1692"/>
      <c r="D7" s="1695"/>
      <c r="E7" s="1695"/>
      <c r="F7" s="1696"/>
      <c r="G7" s="1696"/>
      <c r="H7" s="1695"/>
    </row>
    <row r="8" spans="2:8" ht="20.100000000000001" customHeight="1">
      <c r="B8" s="1695">
        <v>5</v>
      </c>
      <c r="C8" s="1692"/>
      <c r="D8" s="1695"/>
      <c r="E8" s="1695"/>
      <c r="F8" s="1696"/>
      <c r="G8" s="1696"/>
      <c r="H8" s="1695"/>
    </row>
    <row r="9" spans="2:8" ht="19.5" customHeight="1">
      <c r="B9" s="1695">
        <v>6</v>
      </c>
      <c r="C9" s="1692"/>
      <c r="D9" s="1695"/>
      <c r="E9" s="1695"/>
      <c r="F9" s="1696"/>
      <c r="G9" s="1696"/>
      <c r="H9" s="1695"/>
    </row>
    <row r="10" spans="2:8" ht="20.100000000000001" customHeight="1">
      <c r="B10" s="1695">
        <v>7</v>
      </c>
      <c r="C10" s="1692"/>
      <c r="D10" s="1695"/>
      <c r="E10" s="1695"/>
      <c r="F10" s="1696"/>
      <c r="G10" s="1696"/>
      <c r="H10" s="1695"/>
    </row>
    <row r="11" spans="2:8" ht="19.5" customHeight="1">
      <c r="B11" s="1695">
        <v>8</v>
      </c>
      <c r="C11" s="1692"/>
      <c r="D11" s="1695"/>
      <c r="E11" s="1695"/>
      <c r="F11" s="1696"/>
      <c r="G11" s="1696"/>
      <c r="H11" s="1695"/>
    </row>
    <row r="12" spans="2:8" ht="20.100000000000001" customHeight="1">
      <c r="B12" s="1695">
        <v>9</v>
      </c>
      <c r="C12" s="1692"/>
      <c r="D12" s="1695"/>
      <c r="E12" s="1695"/>
      <c r="F12" s="1696"/>
      <c r="G12" s="1696"/>
      <c r="H12" s="1695"/>
    </row>
    <row r="13" spans="2:8" ht="19.5" customHeight="1">
      <c r="B13" s="1695">
        <v>10</v>
      </c>
      <c r="C13" s="1692"/>
      <c r="D13" s="1695"/>
      <c r="E13" s="1695"/>
      <c r="F13" s="1696"/>
      <c r="G13" s="1696"/>
      <c r="H13" s="1695"/>
    </row>
    <row r="14" spans="2:8" ht="20.100000000000001" customHeight="1">
      <c r="B14" s="1695">
        <v>11</v>
      </c>
      <c r="C14" s="1692"/>
      <c r="D14" s="1695"/>
      <c r="E14" s="1695"/>
      <c r="F14" s="1696"/>
      <c r="G14" s="1696"/>
      <c r="H14" s="1695"/>
    </row>
    <row r="15" spans="2:8" ht="20.100000000000001" customHeight="1">
      <c r="B15" s="1695">
        <v>12</v>
      </c>
      <c r="C15" s="1692"/>
      <c r="D15" s="1695"/>
      <c r="E15" s="1695"/>
      <c r="F15" s="1696"/>
      <c r="G15" s="1696"/>
      <c r="H15" s="1695"/>
    </row>
    <row r="16" spans="2:8" ht="19.5" customHeight="1">
      <c r="B16" s="1695">
        <v>13</v>
      </c>
      <c r="C16" s="1692"/>
      <c r="D16" s="1695"/>
      <c r="E16" s="1695"/>
      <c r="F16" s="1696"/>
      <c r="G16" s="1696"/>
      <c r="H16" s="1695"/>
    </row>
    <row r="17" spans="2:8" ht="20.100000000000001" customHeight="1">
      <c r="B17" s="1695">
        <v>14</v>
      </c>
      <c r="C17" s="1692"/>
      <c r="D17" s="1695"/>
      <c r="E17" s="1695"/>
      <c r="F17" s="1696"/>
      <c r="G17" s="1696"/>
      <c r="H17" s="1695"/>
    </row>
    <row r="18" spans="2:8" ht="20.100000000000001" customHeight="1">
      <c r="B18" s="1695">
        <v>15</v>
      </c>
      <c r="C18" s="1692"/>
      <c r="D18" s="1695"/>
      <c r="E18" s="1695"/>
      <c r="F18" s="1696"/>
      <c r="G18" s="1696"/>
      <c r="H18" s="1695"/>
    </row>
  </sheetData>
  <autoFilter ref="D3:H5" xr:uid="{DF63E593-20FB-4F58-A68D-231F038AE044}"/>
  <phoneticPr fontId="5"/>
  <printOptions horizontalCentered="1"/>
  <pageMargins left="0.70866141732283472" right="0.70866141732283472" top="0.74803149606299213" bottom="0.74803149606299213" header="0.31496062992125984" footer="0.31496062992125984"/>
  <pageSetup paperSize="9" scale="4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FF0000"/>
    <pageSetUpPr fitToPage="1"/>
  </sheetPr>
  <dimension ref="B1:AQ309"/>
  <sheetViews>
    <sheetView showGridLines="0" zoomScale="90" zoomScaleNormal="90" workbookViewId="0">
      <selection activeCell="F22" sqref="F22"/>
    </sheetView>
  </sheetViews>
  <sheetFormatPr defaultRowHeight="13.5"/>
  <cols>
    <col min="1" max="1" width="5.375" style="4" customWidth="1"/>
    <col min="2" max="2" width="21.875" style="4" customWidth="1"/>
    <col min="3" max="3" width="32.875" style="4" customWidth="1"/>
    <col min="4" max="9" width="16" style="4" customWidth="1"/>
    <col min="10" max="10" width="9" style="881"/>
    <col min="11" max="11" width="33.625" style="881" customWidth="1"/>
    <col min="12" max="14" width="9" style="881" customWidth="1"/>
    <col min="15" max="15" width="9" style="3" customWidth="1"/>
    <col min="16" max="23" width="10.625" style="3" customWidth="1"/>
    <col min="24" max="37" width="10.625" style="4" customWidth="1"/>
    <col min="38" max="215" width="9" style="4"/>
    <col min="216" max="216" width="14.125" style="4" customWidth="1"/>
    <col min="217" max="217" width="11.375" style="4" customWidth="1"/>
    <col min="218" max="219" width="1.875" style="4" customWidth="1"/>
    <col min="220" max="220" width="3" style="4" bestFit="1" customWidth="1"/>
    <col min="221" max="221" width="34.5" style="4" bestFit="1" customWidth="1"/>
    <col min="222" max="222" width="20.125" style="4" bestFit="1" customWidth="1"/>
    <col min="223" max="233" width="14.625" style="4" customWidth="1"/>
    <col min="234" max="234" width="10.125" style="4" customWidth="1"/>
    <col min="235" max="235" width="5.625" style="4" customWidth="1"/>
    <col min="236" max="236" width="19.75" style="4" customWidth="1"/>
    <col min="237" max="237" width="5.625" style="4" customWidth="1"/>
    <col min="238" max="260" width="10" style="4" customWidth="1"/>
    <col min="261" max="262" width="9" style="4"/>
    <col min="263" max="266" width="10.5" style="4" customWidth="1"/>
    <col min="267" max="471" width="9" style="4"/>
    <col min="472" max="472" width="14.125" style="4" customWidth="1"/>
    <col min="473" max="473" width="11.375" style="4" customWidth="1"/>
    <col min="474" max="475" width="1.875" style="4" customWidth="1"/>
    <col min="476" max="476" width="3" style="4" bestFit="1" customWidth="1"/>
    <col min="477" max="477" width="34.5" style="4" bestFit="1" customWidth="1"/>
    <col min="478" max="478" width="20.125" style="4" bestFit="1" customWidth="1"/>
    <col min="479" max="489" width="14.625" style="4" customWidth="1"/>
    <col min="490" max="490" width="10.125" style="4" customWidth="1"/>
    <col min="491" max="491" width="5.625" style="4" customWidth="1"/>
    <col min="492" max="492" width="19.75" style="4" customWidth="1"/>
    <col min="493" max="493" width="5.625" style="4" customWidth="1"/>
    <col min="494" max="516" width="10" style="4" customWidth="1"/>
    <col min="517" max="518" width="9" style="4"/>
    <col min="519" max="522" width="10.5" style="4" customWidth="1"/>
    <col min="523" max="727" width="9" style="4"/>
    <col min="728" max="728" width="14.125" style="4" customWidth="1"/>
    <col min="729" max="729" width="11.375" style="4" customWidth="1"/>
    <col min="730" max="731" width="1.875" style="4" customWidth="1"/>
    <col min="732" max="732" width="3" style="4" bestFit="1" customWidth="1"/>
    <col min="733" max="733" width="34.5" style="4" bestFit="1" customWidth="1"/>
    <col min="734" max="734" width="20.125" style="4" bestFit="1" customWidth="1"/>
    <col min="735" max="745" width="14.625" style="4" customWidth="1"/>
    <col min="746" max="746" width="10.125" style="4" customWidth="1"/>
    <col min="747" max="747" width="5.625" style="4" customWidth="1"/>
    <col min="748" max="748" width="19.75" style="4" customWidth="1"/>
    <col min="749" max="749" width="5.625" style="4" customWidth="1"/>
    <col min="750" max="772" width="10" style="4" customWidth="1"/>
    <col min="773" max="774" width="9" style="4"/>
    <col min="775" max="778" width="10.5" style="4" customWidth="1"/>
    <col min="779" max="983" width="9" style="4"/>
    <col min="984" max="984" width="14.125" style="4" customWidth="1"/>
    <col min="985" max="985" width="11.375" style="4" customWidth="1"/>
    <col min="986" max="987" width="1.875" style="4" customWidth="1"/>
    <col min="988" max="988" width="3" style="4" bestFit="1" customWidth="1"/>
    <col min="989" max="989" width="34.5" style="4" bestFit="1" customWidth="1"/>
    <col min="990" max="990" width="20.125" style="4" bestFit="1" customWidth="1"/>
    <col min="991" max="1001" width="14.625" style="4" customWidth="1"/>
    <col min="1002" max="1002" width="10.125" style="4" customWidth="1"/>
    <col min="1003" max="1003" width="5.625" style="4" customWidth="1"/>
    <col min="1004" max="1004" width="19.75" style="4" customWidth="1"/>
    <col min="1005" max="1005" width="5.625" style="4" customWidth="1"/>
    <col min="1006" max="1028" width="10" style="4" customWidth="1"/>
    <col min="1029" max="1030" width="9" style="4"/>
    <col min="1031" max="1034" width="10.5" style="4" customWidth="1"/>
    <col min="1035" max="1239" width="9" style="4"/>
    <col min="1240" max="1240" width="14.125" style="4" customWidth="1"/>
    <col min="1241" max="1241" width="11.375" style="4" customWidth="1"/>
    <col min="1242" max="1243" width="1.875" style="4" customWidth="1"/>
    <col min="1244" max="1244" width="3" style="4" bestFit="1" customWidth="1"/>
    <col min="1245" max="1245" width="34.5" style="4" bestFit="1" customWidth="1"/>
    <col min="1246" max="1246" width="20.125" style="4" bestFit="1" customWidth="1"/>
    <col min="1247" max="1257" width="14.625" style="4" customWidth="1"/>
    <col min="1258" max="1258" width="10.125" style="4" customWidth="1"/>
    <col min="1259" max="1259" width="5.625" style="4" customWidth="1"/>
    <col min="1260" max="1260" width="19.75" style="4" customWidth="1"/>
    <col min="1261" max="1261" width="5.625" style="4" customWidth="1"/>
    <col min="1262" max="1284" width="10" style="4" customWidth="1"/>
    <col min="1285" max="1286" width="9" style="4"/>
    <col min="1287" max="1290" width="10.5" style="4" customWidth="1"/>
    <col min="1291" max="1495" width="9" style="4"/>
    <col min="1496" max="1496" width="14.125" style="4" customWidth="1"/>
    <col min="1497" max="1497" width="11.375" style="4" customWidth="1"/>
    <col min="1498" max="1499" width="1.875" style="4" customWidth="1"/>
    <col min="1500" max="1500" width="3" style="4" bestFit="1" customWidth="1"/>
    <col min="1501" max="1501" width="34.5" style="4" bestFit="1" customWidth="1"/>
    <col min="1502" max="1502" width="20.125" style="4" bestFit="1" customWidth="1"/>
    <col min="1503" max="1513" width="14.625" style="4" customWidth="1"/>
    <col min="1514" max="1514" width="10.125" style="4" customWidth="1"/>
    <col min="1515" max="1515" width="5.625" style="4" customWidth="1"/>
    <col min="1516" max="1516" width="19.75" style="4" customWidth="1"/>
    <col min="1517" max="1517" width="5.625" style="4" customWidth="1"/>
    <col min="1518" max="1540" width="10" style="4" customWidth="1"/>
    <col min="1541" max="1542" width="9" style="4"/>
    <col min="1543" max="1546" width="10.5" style="4" customWidth="1"/>
    <col min="1547" max="1751" width="9" style="4"/>
    <col min="1752" max="1752" width="14.125" style="4" customWidth="1"/>
    <col min="1753" max="1753" width="11.375" style="4" customWidth="1"/>
    <col min="1754" max="1755" width="1.875" style="4" customWidth="1"/>
    <col min="1756" max="1756" width="3" style="4" bestFit="1" customWidth="1"/>
    <col min="1757" max="1757" width="34.5" style="4" bestFit="1" customWidth="1"/>
    <col min="1758" max="1758" width="20.125" style="4" bestFit="1" customWidth="1"/>
    <col min="1759" max="1769" width="14.625" style="4" customWidth="1"/>
    <col min="1770" max="1770" width="10.125" style="4" customWidth="1"/>
    <col min="1771" max="1771" width="5.625" style="4" customWidth="1"/>
    <col min="1772" max="1772" width="19.75" style="4" customWidth="1"/>
    <col min="1773" max="1773" width="5.625" style="4" customWidth="1"/>
    <col min="1774" max="1796" width="10" style="4" customWidth="1"/>
    <col min="1797" max="1798" width="9" style="4"/>
    <col min="1799" max="1802" width="10.5" style="4" customWidth="1"/>
    <col min="1803" max="2007" width="9" style="4"/>
    <col min="2008" max="2008" width="14.125" style="4" customWidth="1"/>
    <col min="2009" max="2009" width="11.375" style="4" customWidth="1"/>
    <col min="2010" max="2011" width="1.875" style="4" customWidth="1"/>
    <col min="2012" max="2012" width="3" style="4" bestFit="1" customWidth="1"/>
    <col min="2013" max="2013" width="34.5" style="4" bestFit="1" customWidth="1"/>
    <col min="2014" max="2014" width="20.125" style="4" bestFit="1" customWidth="1"/>
    <col min="2015" max="2025" width="14.625" style="4" customWidth="1"/>
    <col min="2026" max="2026" width="10.125" style="4" customWidth="1"/>
    <col min="2027" max="2027" width="5.625" style="4" customWidth="1"/>
    <col min="2028" max="2028" width="19.75" style="4" customWidth="1"/>
    <col min="2029" max="2029" width="5.625" style="4" customWidth="1"/>
    <col min="2030" max="2052" width="10" style="4" customWidth="1"/>
    <col min="2053" max="2054" width="9" style="4"/>
    <col min="2055" max="2058" width="10.5" style="4" customWidth="1"/>
    <col min="2059" max="2263" width="9" style="4"/>
    <col min="2264" max="2264" width="14.125" style="4" customWidth="1"/>
    <col min="2265" max="2265" width="11.375" style="4" customWidth="1"/>
    <col min="2266" max="2267" width="1.875" style="4" customWidth="1"/>
    <col min="2268" max="2268" width="3" style="4" bestFit="1" customWidth="1"/>
    <col min="2269" max="2269" width="34.5" style="4" bestFit="1" customWidth="1"/>
    <col min="2270" max="2270" width="20.125" style="4" bestFit="1" customWidth="1"/>
    <col min="2271" max="2281" width="14.625" style="4" customWidth="1"/>
    <col min="2282" max="2282" width="10.125" style="4" customWidth="1"/>
    <col min="2283" max="2283" width="5.625" style="4" customWidth="1"/>
    <col min="2284" max="2284" width="19.75" style="4" customWidth="1"/>
    <col min="2285" max="2285" width="5.625" style="4" customWidth="1"/>
    <col min="2286" max="2308" width="10" style="4" customWidth="1"/>
    <col min="2309" max="2310" width="9" style="4"/>
    <col min="2311" max="2314" width="10.5" style="4" customWidth="1"/>
    <col min="2315" max="2519" width="9" style="4"/>
    <col min="2520" max="2520" width="14.125" style="4" customWidth="1"/>
    <col min="2521" max="2521" width="11.375" style="4" customWidth="1"/>
    <col min="2522" max="2523" width="1.875" style="4" customWidth="1"/>
    <col min="2524" max="2524" width="3" style="4" bestFit="1" customWidth="1"/>
    <col min="2525" max="2525" width="34.5" style="4" bestFit="1" customWidth="1"/>
    <col min="2526" max="2526" width="20.125" style="4" bestFit="1" customWidth="1"/>
    <col min="2527" max="2537" width="14.625" style="4" customWidth="1"/>
    <col min="2538" max="2538" width="10.125" style="4" customWidth="1"/>
    <col min="2539" max="2539" width="5.625" style="4" customWidth="1"/>
    <col min="2540" max="2540" width="19.75" style="4" customWidth="1"/>
    <col min="2541" max="2541" width="5.625" style="4" customWidth="1"/>
    <col min="2542" max="2564" width="10" style="4" customWidth="1"/>
    <col min="2565" max="2566" width="9" style="4"/>
    <col min="2567" max="2570" width="10.5" style="4" customWidth="1"/>
    <col min="2571" max="2775" width="9" style="4"/>
    <col min="2776" max="2776" width="14.125" style="4" customWidth="1"/>
    <col min="2777" max="2777" width="11.375" style="4" customWidth="1"/>
    <col min="2778" max="2779" width="1.875" style="4" customWidth="1"/>
    <col min="2780" max="2780" width="3" style="4" bestFit="1" customWidth="1"/>
    <col min="2781" max="2781" width="34.5" style="4" bestFit="1" customWidth="1"/>
    <col min="2782" max="2782" width="20.125" style="4" bestFit="1" customWidth="1"/>
    <col min="2783" max="2793" width="14.625" style="4" customWidth="1"/>
    <col min="2794" max="2794" width="10.125" style="4" customWidth="1"/>
    <col min="2795" max="2795" width="5.625" style="4" customWidth="1"/>
    <col min="2796" max="2796" width="19.75" style="4" customWidth="1"/>
    <col min="2797" max="2797" width="5.625" style="4" customWidth="1"/>
    <col min="2798" max="2820" width="10" style="4" customWidth="1"/>
    <col min="2821" max="2822" width="9" style="4"/>
    <col min="2823" max="2826" width="10.5" style="4" customWidth="1"/>
    <col min="2827" max="3031" width="9" style="4"/>
    <col min="3032" max="3032" width="14.125" style="4" customWidth="1"/>
    <col min="3033" max="3033" width="11.375" style="4" customWidth="1"/>
    <col min="3034" max="3035" width="1.875" style="4" customWidth="1"/>
    <col min="3036" max="3036" width="3" style="4" bestFit="1" customWidth="1"/>
    <col min="3037" max="3037" width="34.5" style="4" bestFit="1" customWidth="1"/>
    <col min="3038" max="3038" width="20.125" style="4" bestFit="1" customWidth="1"/>
    <col min="3039" max="3049" width="14.625" style="4" customWidth="1"/>
    <col min="3050" max="3050" width="10.125" style="4" customWidth="1"/>
    <col min="3051" max="3051" width="5.625" style="4" customWidth="1"/>
    <col min="3052" max="3052" width="19.75" style="4" customWidth="1"/>
    <col min="3053" max="3053" width="5.625" style="4" customWidth="1"/>
    <col min="3054" max="3076" width="10" style="4" customWidth="1"/>
    <col min="3077" max="3078" width="9" style="4"/>
    <col min="3079" max="3082" width="10.5" style="4" customWidth="1"/>
    <col min="3083" max="3287" width="9" style="4"/>
    <col min="3288" max="3288" width="14.125" style="4" customWidth="1"/>
    <col min="3289" max="3289" width="11.375" style="4" customWidth="1"/>
    <col min="3290" max="3291" width="1.875" style="4" customWidth="1"/>
    <col min="3292" max="3292" width="3" style="4" bestFit="1" customWidth="1"/>
    <col min="3293" max="3293" width="34.5" style="4" bestFit="1" customWidth="1"/>
    <col min="3294" max="3294" width="20.125" style="4" bestFit="1" customWidth="1"/>
    <col min="3295" max="3305" width="14.625" style="4" customWidth="1"/>
    <col min="3306" max="3306" width="10.125" style="4" customWidth="1"/>
    <col min="3307" max="3307" width="5.625" style="4" customWidth="1"/>
    <col min="3308" max="3308" width="19.75" style="4" customWidth="1"/>
    <col min="3309" max="3309" width="5.625" style="4" customWidth="1"/>
    <col min="3310" max="3332" width="10" style="4" customWidth="1"/>
    <col min="3333" max="3334" width="9" style="4"/>
    <col min="3335" max="3338" width="10.5" style="4" customWidth="1"/>
    <col min="3339" max="3543" width="9" style="4"/>
    <col min="3544" max="3544" width="14.125" style="4" customWidth="1"/>
    <col min="3545" max="3545" width="11.375" style="4" customWidth="1"/>
    <col min="3546" max="3547" width="1.875" style="4" customWidth="1"/>
    <col min="3548" max="3548" width="3" style="4" bestFit="1" customWidth="1"/>
    <col min="3549" max="3549" width="34.5" style="4" bestFit="1" customWidth="1"/>
    <col min="3550" max="3550" width="20.125" style="4" bestFit="1" customWidth="1"/>
    <col min="3551" max="3561" width="14.625" style="4" customWidth="1"/>
    <col min="3562" max="3562" width="10.125" style="4" customWidth="1"/>
    <col min="3563" max="3563" width="5.625" style="4" customWidth="1"/>
    <col min="3564" max="3564" width="19.75" style="4" customWidth="1"/>
    <col min="3565" max="3565" width="5.625" style="4" customWidth="1"/>
    <col min="3566" max="3588" width="10" style="4" customWidth="1"/>
    <col min="3589" max="3590" width="9" style="4"/>
    <col min="3591" max="3594" width="10.5" style="4" customWidth="1"/>
    <col min="3595" max="3799" width="9" style="4"/>
    <col min="3800" max="3800" width="14.125" style="4" customWidth="1"/>
    <col min="3801" max="3801" width="11.375" style="4" customWidth="1"/>
    <col min="3802" max="3803" width="1.875" style="4" customWidth="1"/>
    <col min="3804" max="3804" width="3" style="4" bestFit="1" customWidth="1"/>
    <col min="3805" max="3805" width="34.5" style="4" bestFit="1" customWidth="1"/>
    <col min="3806" max="3806" width="20.125" style="4" bestFit="1" customWidth="1"/>
    <col min="3807" max="3817" width="14.625" style="4" customWidth="1"/>
    <col min="3818" max="3818" width="10.125" style="4" customWidth="1"/>
    <col min="3819" max="3819" width="5.625" style="4" customWidth="1"/>
    <col min="3820" max="3820" width="19.75" style="4" customWidth="1"/>
    <col min="3821" max="3821" width="5.625" style="4" customWidth="1"/>
    <col min="3822" max="3844" width="10" style="4" customWidth="1"/>
    <col min="3845" max="3846" width="9" style="4"/>
    <col min="3847" max="3850" width="10.5" style="4" customWidth="1"/>
    <col min="3851" max="4055" width="9" style="4"/>
    <col min="4056" max="4056" width="14.125" style="4" customWidth="1"/>
    <col min="4057" max="4057" width="11.375" style="4" customWidth="1"/>
    <col min="4058" max="4059" width="1.875" style="4" customWidth="1"/>
    <col min="4060" max="4060" width="3" style="4" bestFit="1" customWidth="1"/>
    <col min="4061" max="4061" width="34.5" style="4" bestFit="1" customWidth="1"/>
    <col min="4062" max="4062" width="20.125" style="4" bestFit="1" customWidth="1"/>
    <col min="4063" max="4073" width="14.625" style="4" customWidth="1"/>
    <col min="4074" max="4074" width="10.125" style="4" customWidth="1"/>
    <col min="4075" max="4075" width="5.625" style="4" customWidth="1"/>
    <col min="4076" max="4076" width="19.75" style="4" customWidth="1"/>
    <col min="4077" max="4077" width="5.625" style="4" customWidth="1"/>
    <col min="4078" max="4100" width="10" style="4" customWidth="1"/>
    <col min="4101" max="4102" width="9" style="4"/>
    <col min="4103" max="4106" width="10.5" style="4" customWidth="1"/>
    <col min="4107" max="4311" width="9" style="4"/>
    <col min="4312" max="4312" width="14.125" style="4" customWidth="1"/>
    <col min="4313" max="4313" width="11.375" style="4" customWidth="1"/>
    <col min="4314" max="4315" width="1.875" style="4" customWidth="1"/>
    <col min="4316" max="4316" width="3" style="4" bestFit="1" customWidth="1"/>
    <col min="4317" max="4317" width="34.5" style="4" bestFit="1" customWidth="1"/>
    <col min="4318" max="4318" width="20.125" style="4" bestFit="1" customWidth="1"/>
    <col min="4319" max="4329" width="14.625" style="4" customWidth="1"/>
    <col min="4330" max="4330" width="10.125" style="4" customWidth="1"/>
    <col min="4331" max="4331" width="5.625" style="4" customWidth="1"/>
    <col min="4332" max="4332" width="19.75" style="4" customWidth="1"/>
    <col min="4333" max="4333" width="5.625" style="4" customWidth="1"/>
    <col min="4334" max="4356" width="10" style="4" customWidth="1"/>
    <col min="4357" max="4358" width="9" style="4"/>
    <col min="4359" max="4362" width="10.5" style="4" customWidth="1"/>
    <col min="4363" max="4567" width="9" style="4"/>
    <col min="4568" max="4568" width="14.125" style="4" customWidth="1"/>
    <col min="4569" max="4569" width="11.375" style="4" customWidth="1"/>
    <col min="4570" max="4571" width="1.875" style="4" customWidth="1"/>
    <col min="4572" max="4572" width="3" style="4" bestFit="1" customWidth="1"/>
    <col min="4573" max="4573" width="34.5" style="4" bestFit="1" customWidth="1"/>
    <col min="4574" max="4574" width="20.125" style="4" bestFit="1" customWidth="1"/>
    <col min="4575" max="4585" width="14.625" style="4" customWidth="1"/>
    <col min="4586" max="4586" width="10.125" style="4" customWidth="1"/>
    <col min="4587" max="4587" width="5.625" style="4" customWidth="1"/>
    <col min="4588" max="4588" width="19.75" style="4" customWidth="1"/>
    <col min="4589" max="4589" width="5.625" style="4" customWidth="1"/>
    <col min="4590" max="4612" width="10" style="4" customWidth="1"/>
    <col min="4613" max="4614" width="9" style="4"/>
    <col min="4615" max="4618" width="10.5" style="4" customWidth="1"/>
    <col min="4619" max="4823" width="9" style="4"/>
    <col min="4824" max="4824" width="14.125" style="4" customWidth="1"/>
    <col min="4825" max="4825" width="11.375" style="4" customWidth="1"/>
    <col min="4826" max="4827" width="1.875" style="4" customWidth="1"/>
    <col min="4828" max="4828" width="3" style="4" bestFit="1" customWidth="1"/>
    <col min="4829" max="4829" width="34.5" style="4" bestFit="1" customWidth="1"/>
    <col min="4830" max="4830" width="20.125" style="4" bestFit="1" customWidth="1"/>
    <col min="4831" max="4841" width="14.625" style="4" customWidth="1"/>
    <col min="4842" max="4842" width="10.125" style="4" customWidth="1"/>
    <col min="4843" max="4843" width="5.625" style="4" customWidth="1"/>
    <col min="4844" max="4844" width="19.75" style="4" customWidth="1"/>
    <col min="4845" max="4845" width="5.625" style="4" customWidth="1"/>
    <col min="4846" max="4868" width="10" style="4" customWidth="1"/>
    <col min="4869" max="4870" width="9" style="4"/>
    <col min="4871" max="4874" width="10.5" style="4" customWidth="1"/>
    <col min="4875" max="5079" width="9" style="4"/>
    <col min="5080" max="5080" width="14.125" style="4" customWidth="1"/>
    <col min="5081" max="5081" width="11.375" style="4" customWidth="1"/>
    <col min="5082" max="5083" width="1.875" style="4" customWidth="1"/>
    <col min="5084" max="5084" width="3" style="4" bestFit="1" customWidth="1"/>
    <col min="5085" max="5085" width="34.5" style="4" bestFit="1" customWidth="1"/>
    <col min="5086" max="5086" width="20.125" style="4" bestFit="1" customWidth="1"/>
    <col min="5087" max="5097" width="14.625" style="4" customWidth="1"/>
    <col min="5098" max="5098" width="10.125" style="4" customWidth="1"/>
    <col min="5099" max="5099" width="5.625" style="4" customWidth="1"/>
    <col min="5100" max="5100" width="19.75" style="4" customWidth="1"/>
    <col min="5101" max="5101" width="5.625" style="4" customWidth="1"/>
    <col min="5102" max="5124" width="10" style="4" customWidth="1"/>
    <col min="5125" max="5126" width="9" style="4"/>
    <col min="5127" max="5130" width="10.5" style="4" customWidth="1"/>
    <col min="5131" max="5335" width="9" style="4"/>
    <col min="5336" max="5336" width="14.125" style="4" customWidth="1"/>
    <col min="5337" max="5337" width="11.375" style="4" customWidth="1"/>
    <col min="5338" max="5339" width="1.875" style="4" customWidth="1"/>
    <col min="5340" max="5340" width="3" style="4" bestFit="1" customWidth="1"/>
    <col min="5341" max="5341" width="34.5" style="4" bestFit="1" customWidth="1"/>
    <col min="5342" max="5342" width="20.125" style="4" bestFit="1" customWidth="1"/>
    <col min="5343" max="5353" width="14.625" style="4" customWidth="1"/>
    <col min="5354" max="5354" width="10.125" style="4" customWidth="1"/>
    <col min="5355" max="5355" width="5.625" style="4" customWidth="1"/>
    <col min="5356" max="5356" width="19.75" style="4" customWidth="1"/>
    <col min="5357" max="5357" width="5.625" style="4" customWidth="1"/>
    <col min="5358" max="5380" width="10" style="4" customWidth="1"/>
    <col min="5381" max="5382" width="9" style="4"/>
    <col min="5383" max="5386" width="10.5" style="4" customWidth="1"/>
    <col min="5387" max="5591" width="9" style="4"/>
    <col min="5592" max="5592" width="14.125" style="4" customWidth="1"/>
    <col min="5593" max="5593" width="11.375" style="4" customWidth="1"/>
    <col min="5594" max="5595" width="1.875" style="4" customWidth="1"/>
    <col min="5596" max="5596" width="3" style="4" bestFit="1" customWidth="1"/>
    <col min="5597" max="5597" width="34.5" style="4" bestFit="1" customWidth="1"/>
    <col min="5598" max="5598" width="20.125" style="4" bestFit="1" customWidth="1"/>
    <col min="5599" max="5609" width="14.625" style="4" customWidth="1"/>
    <col min="5610" max="5610" width="10.125" style="4" customWidth="1"/>
    <col min="5611" max="5611" width="5.625" style="4" customWidth="1"/>
    <col min="5612" max="5612" width="19.75" style="4" customWidth="1"/>
    <col min="5613" max="5613" width="5.625" style="4" customWidth="1"/>
    <col min="5614" max="5636" width="10" style="4" customWidth="1"/>
    <col min="5637" max="5638" width="9" style="4"/>
    <col min="5639" max="5642" width="10.5" style="4" customWidth="1"/>
    <col min="5643" max="5847" width="9" style="4"/>
    <col min="5848" max="5848" width="14.125" style="4" customWidth="1"/>
    <col min="5849" max="5849" width="11.375" style="4" customWidth="1"/>
    <col min="5850" max="5851" width="1.875" style="4" customWidth="1"/>
    <col min="5852" max="5852" width="3" style="4" bestFit="1" customWidth="1"/>
    <col min="5853" max="5853" width="34.5" style="4" bestFit="1" customWidth="1"/>
    <col min="5854" max="5854" width="20.125" style="4" bestFit="1" customWidth="1"/>
    <col min="5855" max="5865" width="14.625" style="4" customWidth="1"/>
    <col min="5866" max="5866" width="10.125" style="4" customWidth="1"/>
    <col min="5867" max="5867" width="5.625" style="4" customWidth="1"/>
    <col min="5868" max="5868" width="19.75" style="4" customWidth="1"/>
    <col min="5869" max="5869" width="5.625" style="4" customWidth="1"/>
    <col min="5870" max="5892" width="10" style="4" customWidth="1"/>
    <col min="5893" max="5894" width="9" style="4"/>
    <col min="5895" max="5898" width="10.5" style="4" customWidth="1"/>
    <col min="5899" max="6103" width="9" style="4"/>
    <col min="6104" max="6104" width="14.125" style="4" customWidth="1"/>
    <col min="6105" max="6105" width="11.375" style="4" customWidth="1"/>
    <col min="6106" max="6107" width="1.875" style="4" customWidth="1"/>
    <col min="6108" max="6108" width="3" style="4" bestFit="1" customWidth="1"/>
    <col min="6109" max="6109" width="34.5" style="4" bestFit="1" customWidth="1"/>
    <col min="6110" max="6110" width="20.125" style="4" bestFit="1" customWidth="1"/>
    <col min="6111" max="6121" width="14.625" style="4" customWidth="1"/>
    <col min="6122" max="6122" width="10.125" style="4" customWidth="1"/>
    <col min="6123" max="6123" width="5.625" style="4" customWidth="1"/>
    <col min="6124" max="6124" width="19.75" style="4" customWidth="1"/>
    <col min="6125" max="6125" width="5.625" style="4" customWidth="1"/>
    <col min="6126" max="6148" width="10" style="4" customWidth="1"/>
    <col min="6149" max="6150" width="9" style="4"/>
    <col min="6151" max="6154" width="10.5" style="4" customWidth="1"/>
    <col min="6155" max="6359" width="9" style="4"/>
    <col min="6360" max="6360" width="14.125" style="4" customWidth="1"/>
    <col min="6361" max="6361" width="11.375" style="4" customWidth="1"/>
    <col min="6362" max="6363" width="1.875" style="4" customWidth="1"/>
    <col min="6364" max="6364" width="3" style="4" bestFit="1" customWidth="1"/>
    <col min="6365" max="6365" width="34.5" style="4" bestFit="1" customWidth="1"/>
    <col min="6366" max="6366" width="20.125" style="4" bestFit="1" customWidth="1"/>
    <col min="6367" max="6377" width="14.625" style="4" customWidth="1"/>
    <col min="6378" max="6378" width="10.125" style="4" customWidth="1"/>
    <col min="6379" max="6379" width="5.625" style="4" customWidth="1"/>
    <col min="6380" max="6380" width="19.75" style="4" customWidth="1"/>
    <col min="6381" max="6381" width="5.625" style="4" customWidth="1"/>
    <col min="6382" max="6404" width="10" style="4" customWidth="1"/>
    <col min="6405" max="6406" width="9" style="4"/>
    <col min="6407" max="6410" width="10.5" style="4" customWidth="1"/>
    <col min="6411" max="6615" width="9" style="4"/>
    <col min="6616" max="6616" width="14.125" style="4" customWidth="1"/>
    <col min="6617" max="6617" width="11.375" style="4" customWidth="1"/>
    <col min="6618" max="6619" width="1.875" style="4" customWidth="1"/>
    <col min="6620" max="6620" width="3" style="4" bestFit="1" customWidth="1"/>
    <col min="6621" max="6621" width="34.5" style="4" bestFit="1" customWidth="1"/>
    <col min="6622" max="6622" width="20.125" style="4" bestFit="1" customWidth="1"/>
    <col min="6623" max="6633" width="14.625" style="4" customWidth="1"/>
    <col min="6634" max="6634" width="10.125" style="4" customWidth="1"/>
    <col min="6635" max="6635" width="5.625" style="4" customWidth="1"/>
    <col min="6636" max="6636" width="19.75" style="4" customWidth="1"/>
    <col min="6637" max="6637" width="5.625" style="4" customWidth="1"/>
    <col min="6638" max="6660" width="10" style="4" customWidth="1"/>
    <col min="6661" max="6662" width="9" style="4"/>
    <col min="6663" max="6666" width="10.5" style="4" customWidth="1"/>
    <col min="6667" max="6871" width="9" style="4"/>
    <col min="6872" max="6872" width="14.125" style="4" customWidth="1"/>
    <col min="6873" max="6873" width="11.375" style="4" customWidth="1"/>
    <col min="6874" max="6875" width="1.875" style="4" customWidth="1"/>
    <col min="6876" max="6876" width="3" style="4" bestFit="1" customWidth="1"/>
    <col min="6877" max="6877" width="34.5" style="4" bestFit="1" customWidth="1"/>
    <col min="6878" max="6878" width="20.125" style="4" bestFit="1" customWidth="1"/>
    <col min="6879" max="6889" width="14.625" style="4" customWidth="1"/>
    <col min="6890" max="6890" width="10.125" style="4" customWidth="1"/>
    <col min="6891" max="6891" width="5.625" style="4" customWidth="1"/>
    <col min="6892" max="6892" width="19.75" style="4" customWidth="1"/>
    <col min="6893" max="6893" width="5.625" style="4" customWidth="1"/>
    <col min="6894" max="6916" width="10" style="4" customWidth="1"/>
    <col min="6917" max="6918" width="9" style="4"/>
    <col min="6919" max="6922" width="10.5" style="4" customWidth="1"/>
    <col min="6923" max="7127" width="9" style="4"/>
    <col min="7128" max="7128" width="14.125" style="4" customWidth="1"/>
    <col min="7129" max="7129" width="11.375" style="4" customWidth="1"/>
    <col min="7130" max="7131" width="1.875" style="4" customWidth="1"/>
    <col min="7132" max="7132" width="3" style="4" bestFit="1" customWidth="1"/>
    <col min="7133" max="7133" width="34.5" style="4" bestFit="1" customWidth="1"/>
    <col min="7134" max="7134" width="20.125" style="4" bestFit="1" customWidth="1"/>
    <col min="7135" max="7145" width="14.625" style="4" customWidth="1"/>
    <col min="7146" max="7146" width="10.125" style="4" customWidth="1"/>
    <col min="7147" max="7147" width="5.625" style="4" customWidth="1"/>
    <col min="7148" max="7148" width="19.75" style="4" customWidth="1"/>
    <col min="7149" max="7149" width="5.625" style="4" customWidth="1"/>
    <col min="7150" max="7172" width="10" style="4" customWidth="1"/>
    <col min="7173" max="7174" width="9" style="4"/>
    <col min="7175" max="7178" width="10.5" style="4" customWidth="1"/>
    <col min="7179" max="7383" width="9" style="4"/>
    <col min="7384" max="7384" width="14.125" style="4" customWidth="1"/>
    <col min="7385" max="7385" width="11.375" style="4" customWidth="1"/>
    <col min="7386" max="7387" width="1.875" style="4" customWidth="1"/>
    <col min="7388" max="7388" width="3" style="4" bestFit="1" customWidth="1"/>
    <col min="7389" max="7389" width="34.5" style="4" bestFit="1" customWidth="1"/>
    <col min="7390" max="7390" width="20.125" style="4" bestFit="1" customWidth="1"/>
    <col min="7391" max="7401" width="14.625" style="4" customWidth="1"/>
    <col min="7402" max="7402" width="10.125" style="4" customWidth="1"/>
    <col min="7403" max="7403" width="5.625" style="4" customWidth="1"/>
    <col min="7404" max="7404" width="19.75" style="4" customWidth="1"/>
    <col min="7405" max="7405" width="5.625" style="4" customWidth="1"/>
    <col min="7406" max="7428" width="10" style="4" customWidth="1"/>
    <col min="7429" max="7430" width="9" style="4"/>
    <col min="7431" max="7434" width="10.5" style="4" customWidth="1"/>
    <col min="7435" max="7639" width="9" style="4"/>
    <col min="7640" max="7640" width="14.125" style="4" customWidth="1"/>
    <col min="7641" max="7641" width="11.375" style="4" customWidth="1"/>
    <col min="7642" max="7643" width="1.875" style="4" customWidth="1"/>
    <col min="7644" max="7644" width="3" style="4" bestFit="1" customWidth="1"/>
    <col min="7645" max="7645" width="34.5" style="4" bestFit="1" customWidth="1"/>
    <col min="7646" max="7646" width="20.125" style="4" bestFit="1" customWidth="1"/>
    <col min="7647" max="7657" width="14.625" style="4" customWidth="1"/>
    <col min="7658" max="7658" width="10.125" style="4" customWidth="1"/>
    <col min="7659" max="7659" width="5.625" style="4" customWidth="1"/>
    <col min="7660" max="7660" width="19.75" style="4" customWidth="1"/>
    <col min="7661" max="7661" width="5.625" style="4" customWidth="1"/>
    <col min="7662" max="7684" width="10" style="4" customWidth="1"/>
    <col min="7685" max="7686" width="9" style="4"/>
    <col min="7687" max="7690" width="10.5" style="4" customWidth="1"/>
    <col min="7691" max="7895" width="9" style="4"/>
    <col min="7896" max="7896" width="14.125" style="4" customWidth="1"/>
    <col min="7897" max="7897" width="11.375" style="4" customWidth="1"/>
    <col min="7898" max="7899" width="1.875" style="4" customWidth="1"/>
    <col min="7900" max="7900" width="3" style="4" bestFit="1" customWidth="1"/>
    <col min="7901" max="7901" width="34.5" style="4" bestFit="1" customWidth="1"/>
    <col min="7902" max="7902" width="20.125" style="4" bestFit="1" customWidth="1"/>
    <col min="7903" max="7913" width="14.625" style="4" customWidth="1"/>
    <col min="7914" max="7914" width="10.125" style="4" customWidth="1"/>
    <col min="7915" max="7915" width="5.625" style="4" customWidth="1"/>
    <col min="7916" max="7916" width="19.75" style="4" customWidth="1"/>
    <col min="7917" max="7917" width="5.625" style="4" customWidth="1"/>
    <col min="7918" max="7940" width="10" style="4" customWidth="1"/>
    <col min="7941" max="7942" width="9" style="4"/>
    <col min="7943" max="7946" width="10.5" style="4" customWidth="1"/>
    <col min="7947" max="8151" width="9" style="4"/>
    <col min="8152" max="8152" width="14.125" style="4" customWidth="1"/>
    <col min="8153" max="8153" width="11.375" style="4" customWidth="1"/>
    <col min="8154" max="8155" width="1.875" style="4" customWidth="1"/>
    <col min="8156" max="8156" width="3" style="4" bestFit="1" customWidth="1"/>
    <col min="8157" max="8157" width="34.5" style="4" bestFit="1" customWidth="1"/>
    <col min="8158" max="8158" width="20.125" style="4" bestFit="1" customWidth="1"/>
    <col min="8159" max="8169" width="14.625" style="4" customWidth="1"/>
    <col min="8170" max="8170" width="10.125" style="4" customWidth="1"/>
    <col min="8171" max="8171" width="5.625" style="4" customWidth="1"/>
    <col min="8172" max="8172" width="19.75" style="4" customWidth="1"/>
    <col min="8173" max="8173" width="5.625" style="4" customWidth="1"/>
    <col min="8174" max="8196" width="10" style="4" customWidth="1"/>
    <col min="8197" max="8198" width="9" style="4"/>
    <col min="8199" max="8202" width="10.5" style="4" customWidth="1"/>
    <col min="8203" max="8407" width="9" style="4"/>
    <col min="8408" max="8408" width="14.125" style="4" customWidth="1"/>
    <col min="8409" max="8409" width="11.375" style="4" customWidth="1"/>
    <col min="8410" max="8411" width="1.875" style="4" customWidth="1"/>
    <col min="8412" max="8412" width="3" style="4" bestFit="1" customWidth="1"/>
    <col min="8413" max="8413" width="34.5" style="4" bestFit="1" customWidth="1"/>
    <col min="8414" max="8414" width="20.125" style="4" bestFit="1" customWidth="1"/>
    <col min="8415" max="8425" width="14.625" style="4" customWidth="1"/>
    <col min="8426" max="8426" width="10.125" style="4" customWidth="1"/>
    <col min="8427" max="8427" width="5.625" style="4" customWidth="1"/>
    <col min="8428" max="8428" width="19.75" style="4" customWidth="1"/>
    <col min="8429" max="8429" width="5.625" style="4" customWidth="1"/>
    <col min="8430" max="8452" width="10" style="4" customWidth="1"/>
    <col min="8453" max="8454" width="9" style="4"/>
    <col min="8455" max="8458" width="10.5" style="4" customWidth="1"/>
    <col min="8459" max="8663" width="9" style="4"/>
    <col min="8664" max="8664" width="14.125" style="4" customWidth="1"/>
    <col min="8665" max="8665" width="11.375" style="4" customWidth="1"/>
    <col min="8666" max="8667" width="1.875" style="4" customWidth="1"/>
    <col min="8668" max="8668" width="3" style="4" bestFit="1" customWidth="1"/>
    <col min="8669" max="8669" width="34.5" style="4" bestFit="1" customWidth="1"/>
    <col min="8670" max="8670" width="20.125" style="4" bestFit="1" customWidth="1"/>
    <col min="8671" max="8681" width="14.625" style="4" customWidth="1"/>
    <col min="8682" max="8682" width="10.125" style="4" customWidth="1"/>
    <col min="8683" max="8683" width="5.625" style="4" customWidth="1"/>
    <col min="8684" max="8684" width="19.75" style="4" customWidth="1"/>
    <col min="8685" max="8685" width="5.625" style="4" customWidth="1"/>
    <col min="8686" max="8708" width="10" style="4" customWidth="1"/>
    <col min="8709" max="8710" width="9" style="4"/>
    <col min="8711" max="8714" width="10.5" style="4" customWidth="1"/>
    <col min="8715" max="8919" width="9" style="4"/>
    <col min="8920" max="8920" width="14.125" style="4" customWidth="1"/>
    <col min="8921" max="8921" width="11.375" style="4" customWidth="1"/>
    <col min="8922" max="8923" width="1.875" style="4" customWidth="1"/>
    <col min="8924" max="8924" width="3" style="4" bestFit="1" customWidth="1"/>
    <col min="8925" max="8925" width="34.5" style="4" bestFit="1" customWidth="1"/>
    <col min="8926" max="8926" width="20.125" style="4" bestFit="1" customWidth="1"/>
    <col min="8927" max="8937" width="14.625" style="4" customWidth="1"/>
    <col min="8938" max="8938" width="10.125" style="4" customWidth="1"/>
    <col min="8939" max="8939" width="5.625" style="4" customWidth="1"/>
    <col min="8940" max="8940" width="19.75" style="4" customWidth="1"/>
    <col min="8941" max="8941" width="5.625" style="4" customWidth="1"/>
    <col min="8942" max="8964" width="10" style="4" customWidth="1"/>
    <col min="8965" max="8966" width="9" style="4"/>
    <col min="8967" max="8970" width="10.5" style="4" customWidth="1"/>
    <col min="8971" max="9175" width="9" style="4"/>
    <col min="9176" max="9176" width="14.125" style="4" customWidth="1"/>
    <col min="9177" max="9177" width="11.375" style="4" customWidth="1"/>
    <col min="9178" max="9179" width="1.875" style="4" customWidth="1"/>
    <col min="9180" max="9180" width="3" style="4" bestFit="1" customWidth="1"/>
    <col min="9181" max="9181" width="34.5" style="4" bestFit="1" customWidth="1"/>
    <col min="9182" max="9182" width="20.125" style="4" bestFit="1" customWidth="1"/>
    <col min="9183" max="9193" width="14.625" style="4" customWidth="1"/>
    <col min="9194" max="9194" width="10.125" style="4" customWidth="1"/>
    <col min="9195" max="9195" width="5.625" style="4" customWidth="1"/>
    <col min="9196" max="9196" width="19.75" style="4" customWidth="1"/>
    <col min="9197" max="9197" width="5.625" style="4" customWidth="1"/>
    <col min="9198" max="9220" width="10" style="4" customWidth="1"/>
    <col min="9221" max="9222" width="9" style="4"/>
    <col min="9223" max="9226" width="10.5" style="4" customWidth="1"/>
    <col min="9227" max="9431" width="9" style="4"/>
    <col min="9432" max="9432" width="14.125" style="4" customWidth="1"/>
    <col min="9433" max="9433" width="11.375" style="4" customWidth="1"/>
    <col min="9434" max="9435" width="1.875" style="4" customWidth="1"/>
    <col min="9436" max="9436" width="3" style="4" bestFit="1" customWidth="1"/>
    <col min="9437" max="9437" width="34.5" style="4" bestFit="1" customWidth="1"/>
    <col min="9438" max="9438" width="20.125" style="4" bestFit="1" customWidth="1"/>
    <col min="9439" max="9449" width="14.625" style="4" customWidth="1"/>
    <col min="9450" max="9450" width="10.125" style="4" customWidth="1"/>
    <col min="9451" max="9451" width="5.625" style="4" customWidth="1"/>
    <col min="9452" max="9452" width="19.75" style="4" customWidth="1"/>
    <col min="9453" max="9453" width="5.625" style="4" customWidth="1"/>
    <col min="9454" max="9476" width="10" style="4" customWidth="1"/>
    <col min="9477" max="9478" width="9" style="4"/>
    <col min="9479" max="9482" width="10.5" style="4" customWidth="1"/>
    <col min="9483" max="9687" width="9" style="4"/>
    <col min="9688" max="9688" width="14.125" style="4" customWidth="1"/>
    <col min="9689" max="9689" width="11.375" style="4" customWidth="1"/>
    <col min="9690" max="9691" width="1.875" style="4" customWidth="1"/>
    <col min="9692" max="9692" width="3" style="4" bestFit="1" customWidth="1"/>
    <col min="9693" max="9693" width="34.5" style="4" bestFit="1" customWidth="1"/>
    <col min="9694" max="9694" width="20.125" style="4" bestFit="1" customWidth="1"/>
    <col min="9695" max="9705" width="14.625" style="4" customWidth="1"/>
    <col min="9706" max="9706" width="10.125" style="4" customWidth="1"/>
    <col min="9707" max="9707" width="5.625" style="4" customWidth="1"/>
    <col min="9708" max="9708" width="19.75" style="4" customWidth="1"/>
    <col min="9709" max="9709" width="5.625" style="4" customWidth="1"/>
    <col min="9710" max="9732" width="10" style="4" customWidth="1"/>
    <col min="9733" max="9734" width="9" style="4"/>
    <col min="9735" max="9738" width="10.5" style="4" customWidth="1"/>
    <col min="9739" max="9943" width="9" style="4"/>
    <col min="9944" max="9944" width="14.125" style="4" customWidth="1"/>
    <col min="9945" max="9945" width="11.375" style="4" customWidth="1"/>
    <col min="9946" max="9947" width="1.875" style="4" customWidth="1"/>
    <col min="9948" max="9948" width="3" style="4" bestFit="1" customWidth="1"/>
    <col min="9949" max="9949" width="34.5" style="4" bestFit="1" customWidth="1"/>
    <col min="9950" max="9950" width="20.125" style="4" bestFit="1" customWidth="1"/>
    <col min="9951" max="9961" width="14.625" style="4" customWidth="1"/>
    <col min="9962" max="9962" width="10.125" style="4" customWidth="1"/>
    <col min="9963" max="9963" width="5.625" style="4" customWidth="1"/>
    <col min="9964" max="9964" width="19.75" style="4" customWidth="1"/>
    <col min="9965" max="9965" width="5.625" style="4" customWidth="1"/>
    <col min="9966" max="9988" width="10" style="4" customWidth="1"/>
    <col min="9989" max="9990" width="9" style="4"/>
    <col min="9991" max="9994" width="10.5" style="4" customWidth="1"/>
    <col min="9995" max="10199" width="9" style="4"/>
    <col min="10200" max="10200" width="14.125" style="4" customWidth="1"/>
    <col min="10201" max="10201" width="11.375" style="4" customWidth="1"/>
    <col min="10202" max="10203" width="1.875" style="4" customWidth="1"/>
    <col min="10204" max="10204" width="3" style="4" bestFit="1" customWidth="1"/>
    <col min="10205" max="10205" width="34.5" style="4" bestFit="1" customWidth="1"/>
    <col min="10206" max="10206" width="20.125" style="4" bestFit="1" customWidth="1"/>
    <col min="10207" max="10217" width="14.625" style="4" customWidth="1"/>
    <col min="10218" max="10218" width="10.125" style="4" customWidth="1"/>
    <col min="10219" max="10219" width="5.625" style="4" customWidth="1"/>
    <col min="10220" max="10220" width="19.75" style="4" customWidth="1"/>
    <col min="10221" max="10221" width="5.625" style="4" customWidth="1"/>
    <col min="10222" max="10244" width="10" style="4" customWidth="1"/>
    <col min="10245" max="10246" width="9" style="4"/>
    <col min="10247" max="10250" width="10.5" style="4" customWidth="1"/>
    <col min="10251" max="10455" width="9" style="4"/>
    <col min="10456" max="10456" width="14.125" style="4" customWidth="1"/>
    <col min="10457" max="10457" width="11.375" style="4" customWidth="1"/>
    <col min="10458" max="10459" width="1.875" style="4" customWidth="1"/>
    <col min="10460" max="10460" width="3" style="4" bestFit="1" customWidth="1"/>
    <col min="10461" max="10461" width="34.5" style="4" bestFit="1" customWidth="1"/>
    <col min="10462" max="10462" width="20.125" style="4" bestFit="1" customWidth="1"/>
    <col min="10463" max="10473" width="14.625" style="4" customWidth="1"/>
    <col min="10474" max="10474" width="10.125" style="4" customWidth="1"/>
    <col min="10475" max="10475" width="5.625" style="4" customWidth="1"/>
    <col min="10476" max="10476" width="19.75" style="4" customWidth="1"/>
    <col min="10477" max="10477" width="5.625" style="4" customWidth="1"/>
    <col min="10478" max="10500" width="10" style="4" customWidth="1"/>
    <col min="10501" max="10502" width="9" style="4"/>
    <col min="10503" max="10506" width="10.5" style="4" customWidth="1"/>
    <col min="10507" max="10711" width="9" style="4"/>
    <col min="10712" max="10712" width="14.125" style="4" customWidth="1"/>
    <col min="10713" max="10713" width="11.375" style="4" customWidth="1"/>
    <col min="10714" max="10715" width="1.875" style="4" customWidth="1"/>
    <col min="10716" max="10716" width="3" style="4" bestFit="1" customWidth="1"/>
    <col min="10717" max="10717" width="34.5" style="4" bestFit="1" customWidth="1"/>
    <col min="10718" max="10718" width="20.125" style="4" bestFit="1" customWidth="1"/>
    <col min="10719" max="10729" width="14.625" style="4" customWidth="1"/>
    <col min="10730" max="10730" width="10.125" style="4" customWidth="1"/>
    <col min="10731" max="10731" width="5.625" style="4" customWidth="1"/>
    <col min="10732" max="10732" width="19.75" style="4" customWidth="1"/>
    <col min="10733" max="10733" width="5.625" style="4" customWidth="1"/>
    <col min="10734" max="10756" width="10" style="4" customWidth="1"/>
    <col min="10757" max="10758" width="9" style="4"/>
    <col min="10759" max="10762" width="10.5" style="4" customWidth="1"/>
    <col min="10763" max="10967" width="9" style="4"/>
    <col min="10968" max="10968" width="14.125" style="4" customWidth="1"/>
    <col min="10969" max="10969" width="11.375" style="4" customWidth="1"/>
    <col min="10970" max="10971" width="1.875" style="4" customWidth="1"/>
    <col min="10972" max="10972" width="3" style="4" bestFit="1" customWidth="1"/>
    <col min="10973" max="10973" width="34.5" style="4" bestFit="1" customWidth="1"/>
    <col min="10974" max="10974" width="20.125" style="4" bestFit="1" customWidth="1"/>
    <col min="10975" max="10985" width="14.625" style="4" customWidth="1"/>
    <col min="10986" max="10986" width="10.125" style="4" customWidth="1"/>
    <col min="10987" max="10987" width="5.625" style="4" customWidth="1"/>
    <col min="10988" max="10988" width="19.75" style="4" customWidth="1"/>
    <col min="10989" max="10989" width="5.625" style="4" customWidth="1"/>
    <col min="10990" max="11012" width="10" style="4" customWidth="1"/>
    <col min="11013" max="11014" width="9" style="4"/>
    <col min="11015" max="11018" width="10.5" style="4" customWidth="1"/>
    <col min="11019" max="11223" width="9" style="4"/>
    <col min="11224" max="11224" width="14.125" style="4" customWidth="1"/>
    <col min="11225" max="11225" width="11.375" style="4" customWidth="1"/>
    <col min="11226" max="11227" width="1.875" style="4" customWidth="1"/>
    <col min="11228" max="11228" width="3" style="4" bestFit="1" customWidth="1"/>
    <col min="11229" max="11229" width="34.5" style="4" bestFit="1" customWidth="1"/>
    <col min="11230" max="11230" width="20.125" style="4" bestFit="1" customWidth="1"/>
    <col min="11231" max="11241" width="14.625" style="4" customWidth="1"/>
    <col min="11242" max="11242" width="10.125" style="4" customWidth="1"/>
    <col min="11243" max="11243" width="5.625" style="4" customWidth="1"/>
    <col min="11244" max="11244" width="19.75" style="4" customWidth="1"/>
    <col min="11245" max="11245" width="5.625" style="4" customWidth="1"/>
    <col min="11246" max="11268" width="10" style="4" customWidth="1"/>
    <col min="11269" max="11270" width="9" style="4"/>
    <col min="11271" max="11274" width="10.5" style="4" customWidth="1"/>
    <col min="11275" max="11479" width="9" style="4"/>
    <col min="11480" max="11480" width="14.125" style="4" customWidth="1"/>
    <col min="11481" max="11481" width="11.375" style="4" customWidth="1"/>
    <col min="11482" max="11483" width="1.875" style="4" customWidth="1"/>
    <col min="11484" max="11484" width="3" style="4" bestFit="1" customWidth="1"/>
    <col min="11485" max="11485" width="34.5" style="4" bestFit="1" customWidth="1"/>
    <col min="11486" max="11486" width="20.125" style="4" bestFit="1" customWidth="1"/>
    <col min="11487" max="11497" width="14.625" style="4" customWidth="1"/>
    <col min="11498" max="11498" width="10.125" style="4" customWidth="1"/>
    <col min="11499" max="11499" width="5.625" style="4" customWidth="1"/>
    <col min="11500" max="11500" width="19.75" style="4" customWidth="1"/>
    <col min="11501" max="11501" width="5.625" style="4" customWidth="1"/>
    <col min="11502" max="11524" width="10" style="4" customWidth="1"/>
    <col min="11525" max="11526" width="9" style="4"/>
    <col min="11527" max="11530" width="10.5" style="4" customWidth="1"/>
    <col min="11531" max="11735" width="9" style="4"/>
    <col min="11736" max="11736" width="14.125" style="4" customWidth="1"/>
    <col min="11737" max="11737" width="11.375" style="4" customWidth="1"/>
    <col min="11738" max="11739" width="1.875" style="4" customWidth="1"/>
    <col min="11740" max="11740" width="3" style="4" bestFit="1" customWidth="1"/>
    <col min="11741" max="11741" width="34.5" style="4" bestFit="1" customWidth="1"/>
    <col min="11742" max="11742" width="20.125" style="4" bestFit="1" customWidth="1"/>
    <col min="11743" max="11753" width="14.625" style="4" customWidth="1"/>
    <col min="11754" max="11754" width="10.125" style="4" customWidth="1"/>
    <col min="11755" max="11755" width="5.625" style="4" customWidth="1"/>
    <col min="11756" max="11756" width="19.75" style="4" customWidth="1"/>
    <col min="11757" max="11757" width="5.625" style="4" customWidth="1"/>
    <col min="11758" max="11780" width="10" style="4" customWidth="1"/>
    <col min="11781" max="11782" width="9" style="4"/>
    <col min="11783" max="11786" width="10.5" style="4" customWidth="1"/>
    <col min="11787" max="11991" width="9" style="4"/>
    <col min="11992" max="11992" width="14.125" style="4" customWidth="1"/>
    <col min="11993" max="11993" width="11.375" style="4" customWidth="1"/>
    <col min="11994" max="11995" width="1.875" style="4" customWidth="1"/>
    <col min="11996" max="11996" width="3" style="4" bestFit="1" customWidth="1"/>
    <col min="11997" max="11997" width="34.5" style="4" bestFit="1" customWidth="1"/>
    <col min="11998" max="11998" width="20.125" style="4" bestFit="1" customWidth="1"/>
    <col min="11999" max="12009" width="14.625" style="4" customWidth="1"/>
    <col min="12010" max="12010" width="10.125" style="4" customWidth="1"/>
    <col min="12011" max="12011" width="5.625" style="4" customWidth="1"/>
    <col min="12012" max="12012" width="19.75" style="4" customWidth="1"/>
    <col min="12013" max="12013" width="5.625" style="4" customWidth="1"/>
    <col min="12014" max="12036" width="10" style="4" customWidth="1"/>
    <col min="12037" max="12038" width="9" style="4"/>
    <col min="12039" max="12042" width="10.5" style="4" customWidth="1"/>
    <col min="12043" max="12247" width="9" style="4"/>
    <col min="12248" max="12248" width="14.125" style="4" customWidth="1"/>
    <col min="12249" max="12249" width="11.375" style="4" customWidth="1"/>
    <col min="12250" max="12251" width="1.875" style="4" customWidth="1"/>
    <col min="12252" max="12252" width="3" style="4" bestFit="1" customWidth="1"/>
    <col min="12253" max="12253" width="34.5" style="4" bestFit="1" customWidth="1"/>
    <col min="12254" max="12254" width="20.125" style="4" bestFit="1" customWidth="1"/>
    <col min="12255" max="12265" width="14.625" style="4" customWidth="1"/>
    <col min="12266" max="12266" width="10.125" style="4" customWidth="1"/>
    <col min="12267" max="12267" width="5.625" style="4" customWidth="1"/>
    <col min="12268" max="12268" width="19.75" style="4" customWidth="1"/>
    <col min="12269" max="12269" width="5.625" style="4" customWidth="1"/>
    <col min="12270" max="12292" width="10" style="4" customWidth="1"/>
    <col min="12293" max="12294" width="9" style="4"/>
    <col min="12295" max="12298" width="10.5" style="4" customWidth="1"/>
    <col min="12299" max="12503" width="9" style="4"/>
    <col min="12504" max="12504" width="14.125" style="4" customWidth="1"/>
    <col min="12505" max="12505" width="11.375" style="4" customWidth="1"/>
    <col min="12506" max="12507" width="1.875" style="4" customWidth="1"/>
    <col min="12508" max="12508" width="3" style="4" bestFit="1" customWidth="1"/>
    <col min="12509" max="12509" width="34.5" style="4" bestFit="1" customWidth="1"/>
    <col min="12510" max="12510" width="20.125" style="4" bestFit="1" customWidth="1"/>
    <col min="12511" max="12521" width="14.625" style="4" customWidth="1"/>
    <col min="12522" max="12522" width="10.125" style="4" customWidth="1"/>
    <col min="12523" max="12523" width="5.625" style="4" customWidth="1"/>
    <col min="12524" max="12524" width="19.75" style="4" customWidth="1"/>
    <col min="12525" max="12525" width="5.625" style="4" customWidth="1"/>
    <col min="12526" max="12548" width="10" style="4" customWidth="1"/>
    <col min="12549" max="12550" width="9" style="4"/>
    <col min="12551" max="12554" width="10.5" style="4" customWidth="1"/>
    <col min="12555" max="12759" width="9" style="4"/>
    <col min="12760" max="12760" width="14.125" style="4" customWidth="1"/>
    <col min="12761" max="12761" width="11.375" style="4" customWidth="1"/>
    <col min="12762" max="12763" width="1.875" style="4" customWidth="1"/>
    <col min="12764" max="12764" width="3" style="4" bestFit="1" customWidth="1"/>
    <col min="12765" max="12765" width="34.5" style="4" bestFit="1" customWidth="1"/>
    <col min="12766" max="12766" width="20.125" style="4" bestFit="1" customWidth="1"/>
    <col min="12767" max="12777" width="14.625" style="4" customWidth="1"/>
    <col min="12778" max="12778" width="10.125" style="4" customWidth="1"/>
    <col min="12779" max="12779" width="5.625" style="4" customWidth="1"/>
    <col min="12780" max="12780" width="19.75" style="4" customWidth="1"/>
    <col min="12781" max="12781" width="5.625" style="4" customWidth="1"/>
    <col min="12782" max="12804" width="10" style="4" customWidth="1"/>
    <col min="12805" max="12806" width="9" style="4"/>
    <col min="12807" max="12810" width="10.5" style="4" customWidth="1"/>
    <col min="12811" max="13015" width="9" style="4"/>
    <col min="13016" max="13016" width="14.125" style="4" customWidth="1"/>
    <col min="13017" max="13017" width="11.375" style="4" customWidth="1"/>
    <col min="13018" max="13019" width="1.875" style="4" customWidth="1"/>
    <col min="13020" max="13020" width="3" style="4" bestFit="1" customWidth="1"/>
    <col min="13021" max="13021" width="34.5" style="4" bestFit="1" customWidth="1"/>
    <col min="13022" max="13022" width="20.125" style="4" bestFit="1" customWidth="1"/>
    <col min="13023" max="13033" width="14.625" style="4" customWidth="1"/>
    <col min="13034" max="13034" width="10.125" style="4" customWidth="1"/>
    <col min="13035" max="13035" width="5.625" style="4" customWidth="1"/>
    <col min="13036" max="13036" width="19.75" style="4" customWidth="1"/>
    <col min="13037" max="13037" width="5.625" style="4" customWidth="1"/>
    <col min="13038" max="13060" width="10" style="4" customWidth="1"/>
    <col min="13061" max="13062" width="9" style="4"/>
    <col min="13063" max="13066" width="10.5" style="4" customWidth="1"/>
    <col min="13067" max="13271" width="9" style="4"/>
    <col min="13272" max="13272" width="14.125" style="4" customWidth="1"/>
    <col min="13273" max="13273" width="11.375" style="4" customWidth="1"/>
    <col min="13274" max="13275" width="1.875" style="4" customWidth="1"/>
    <col min="13276" max="13276" width="3" style="4" bestFit="1" customWidth="1"/>
    <col min="13277" max="13277" width="34.5" style="4" bestFit="1" customWidth="1"/>
    <col min="13278" max="13278" width="20.125" style="4" bestFit="1" customWidth="1"/>
    <col min="13279" max="13289" width="14.625" style="4" customWidth="1"/>
    <col min="13290" max="13290" width="10.125" style="4" customWidth="1"/>
    <col min="13291" max="13291" width="5.625" style="4" customWidth="1"/>
    <col min="13292" max="13292" width="19.75" style="4" customWidth="1"/>
    <col min="13293" max="13293" width="5.625" style="4" customWidth="1"/>
    <col min="13294" max="13316" width="10" style="4" customWidth="1"/>
    <col min="13317" max="13318" width="9" style="4"/>
    <col min="13319" max="13322" width="10.5" style="4" customWidth="1"/>
    <col min="13323" max="13527" width="9" style="4"/>
    <col min="13528" max="13528" width="14.125" style="4" customWidth="1"/>
    <col min="13529" max="13529" width="11.375" style="4" customWidth="1"/>
    <col min="13530" max="13531" width="1.875" style="4" customWidth="1"/>
    <col min="13532" max="13532" width="3" style="4" bestFit="1" customWidth="1"/>
    <col min="13533" max="13533" width="34.5" style="4" bestFit="1" customWidth="1"/>
    <col min="13534" max="13534" width="20.125" style="4" bestFit="1" customWidth="1"/>
    <col min="13535" max="13545" width="14.625" style="4" customWidth="1"/>
    <col min="13546" max="13546" width="10.125" style="4" customWidth="1"/>
    <col min="13547" max="13547" width="5.625" style="4" customWidth="1"/>
    <col min="13548" max="13548" width="19.75" style="4" customWidth="1"/>
    <col min="13549" max="13549" width="5.625" style="4" customWidth="1"/>
    <col min="13550" max="13572" width="10" style="4" customWidth="1"/>
    <col min="13573" max="13574" width="9" style="4"/>
    <col min="13575" max="13578" width="10.5" style="4" customWidth="1"/>
    <col min="13579" max="13783" width="9" style="4"/>
    <col min="13784" max="13784" width="14.125" style="4" customWidth="1"/>
    <col min="13785" max="13785" width="11.375" style="4" customWidth="1"/>
    <col min="13786" max="13787" width="1.875" style="4" customWidth="1"/>
    <col min="13788" max="13788" width="3" style="4" bestFit="1" customWidth="1"/>
    <col min="13789" max="13789" width="34.5" style="4" bestFit="1" customWidth="1"/>
    <col min="13790" max="13790" width="20.125" style="4" bestFit="1" customWidth="1"/>
    <col min="13791" max="13801" width="14.625" style="4" customWidth="1"/>
    <col min="13802" max="13802" width="10.125" style="4" customWidth="1"/>
    <col min="13803" max="13803" width="5.625" style="4" customWidth="1"/>
    <col min="13804" max="13804" width="19.75" style="4" customWidth="1"/>
    <col min="13805" max="13805" width="5.625" style="4" customWidth="1"/>
    <col min="13806" max="13828" width="10" style="4" customWidth="1"/>
    <col min="13829" max="13830" width="9" style="4"/>
    <col min="13831" max="13834" width="10.5" style="4" customWidth="1"/>
    <col min="13835" max="14039" width="9" style="4"/>
    <col min="14040" max="14040" width="14.125" style="4" customWidth="1"/>
    <col min="14041" max="14041" width="11.375" style="4" customWidth="1"/>
    <col min="14042" max="14043" width="1.875" style="4" customWidth="1"/>
    <col min="14044" max="14044" width="3" style="4" bestFit="1" customWidth="1"/>
    <col min="14045" max="14045" width="34.5" style="4" bestFit="1" customWidth="1"/>
    <col min="14046" max="14046" width="20.125" style="4" bestFit="1" customWidth="1"/>
    <col min="14047" max="14057" width="14.625" style="4" customWidth="1"/>
    <col min="14058" max="14058" width="10.125" style="4" customWidth="1"/>
    <col min="14059" max="14059" width="5.625" style="4" customWidth="1"/>
    <col min="14060" max="14060" width="19.75" style="4" customWidth="1"/>
    <col min="14061" max="14061" width="5.625" style="4" customWidth="1"/>
    <col min="14062" max="14084" width="10" style="4" customWidth="1"/>
    <col min="14085" max="14086" width="9" style="4"/>
    <col min="14087" max="14090" width="10.5" style="4" customWidth="1"/>
    <col min="14091" max="14295" width="9" style="4"/>
    <col min="14296" max="14296" width="14.125" style="4" customWidth="1"/>
    <col min="14297" max="14297" width="11.375" style="4" customWidth="1"/>
    <col min="14298" max="14299" width="1.875" style="4" customWidth="1"/>
    <col min="14300" max="14300" width="3" style="4" bestFit="1" customWidth="1"/>
    <col min="14301" max="14301" width="34.5" style="4" bestFit="1" customWidth="1"/>
    <col min="14302" max="14302" width="20.125" style="4" bestFit="1" customWidth="1"/>
    <col min="14303" max="14313" width="14.625" style="4" customWidth="1"/>
    <col min="14314" max="14314" width="10.125" style="4" customWidth="1"/>
    <col min="14315" max="14315" width="5.625" style="4" customWidth="1"/>
    <col min="14316" max="14316" width="19.75" style="4" customWidth="1"/>
    <col min="14317" max="14317" width="5.625" style="4" customWidth="1"/>
    <col min="14318" max="14340" width="10" style="4" customWidth="1"/>
    <col min="14341" max="14342" width="9" style="4"/>
    <col min="14343" max="14346" width="10.5" style="4" customWidth="1"/>
    <col min="14347" max="14551" width="9" style="4"/>
    <col min="14552" max="14552" width="14.125" style="4" customWidth="1"/>
    <col min="14553" max="14553" width="11.375" style="4" customWidth="1"/>
    <col min="14554" max="14555" width="1.875" style="4" customWidth="1"/>
    <col min="14556" max="14556" width="3" style="4" bestFit="1" customWidth="1"/>
    <col min="14557" max="14557" width="34.5" style="4" bestFit="1" customWidth="1"/>
    <col min="14558" max="14558" width="20.125" style="4" bestFit="1" customWidth="1"/>
    <col min="14559" max="14569" width="14.625" style="4" customWidth="1"/>
    <col min="14570" max="14570" width="10.125" style="4" customWidth="1"/>
    <col min="14571" max="14571" width="5.625" style="4" customWidth="1"/>
    <col min="14572" max="14572" width="19.75" style="4" customWidth="1"/>
    <col min="14573" max="14573" width="5.625" style="4" customWidth="1"/>
    <col min="14574" max="14596" width="10" style="4" customWidth="1"/>
    <col min="14597" max="14598" width="9" style="4"/>
    <col min="14599" max="14602" width="10.5" style="4" customWidth="1"/>
    <col min="14603" max="14807" width="9" style="4"/>
    <col min="14808" max="14808" width="14.125" style="4" customWidth="1"/>
    <col min="14809" max="14809" width="11.375" style="4" customWidth="1"/>
    <col min="14810" max="14811" width="1.875" style="4" customWidth="1"/>
    <col min="14812" max="14812" width="3" style="4" bestFit="1" customWidth="1"/>
    <col min="14813" max="14813" width="34.5" style="4" bestFit="1" customWidth="1"/>
    <col min="14814" max="14814" width="20.125" style="4" bestFit="1" customWidth="1"/>
    <col min="14815" max="14825" width="14.625" style="4" customWidth="1"/>
    <col min="14826" max="14826" width="10.125" style="4" customWidth="1"/>
    <col min="14827" max="14827" width="5.625" style="4" customWidth="1"/>
    <col min="14828" max="14828" width="19.75" style="4" customWidth="1"/>
    <col min="14829" max="14829" width="5.625" style="4" customWidth="1"/>
    <col min="14830" max="14852" width="10" style="4" customWidth="1"/>
    <col min="14853" max="14854" width="9" style="4"/>
    <col min="14855" max="14858" width="10.5" style="4" customWidth="1"/>
    <col min="14859" max="15063" width="9" style="4"/>
    <col min="15064" max="15064" width="14.125" style="4" customWidth="1"/>
    <col min="15065" max="15065" width="11.375" style="4" customWidth="1"/>
    <col min="15066" max="15067" width="1.875" style="4" customWidth="1"/>
    <col min="15068" max="15068" width="3" style="4" bestFit="1" customWidth="1"/>
    <col min="15069" max="15069" width="34.5" style="4" bestFit="1" customWidth="1"/>
    <col min="15070" max="15070" width="20.125" style="4" bestFit="1" customWidth="1"/>
    <col min="15071" max="15081" width="14.625" style="4" customWidth="1"/>
    <col min="15082" max="15082" width="10.125" style="4" customWidth="1"/>
    <col min="15083" max="15083" width="5.625" style="4" customWidth="1"/>
    <col min="15084" max="15084" width="19.75" style="4" customWidth="1"/>
    <col min="15085" max="15085" width="5.625" style="4" customWidth="1"/>
    <col min="15086" max="15108" width="10" style="4" customWidth="1"/>
    <col min="15109" max="15110" width="9" style="4"/>
    <col min="15111" max="15114" width="10.5" style="4" customWidth="1"/>
    <col min="15115" max="15319" width="9" style="4"/>
    <col min="15320" max="15320" width="14.125" style="4" customWidth="1"/>
    <col min="15321" max="15321" width="11.375" style="4" customWidth="1"/>
    <col min="15322" max="15323" width="1.875" style="4" customWidth="1"/>
    <col min="15324" max="15324" width="3" style="4" bestFit="1" customWidth="1"/>
    <col min="15325" max="15325" width="34.5" style="4" bestFit="1" customWidth="1"/>
    <col min="15326" max="15326" width="20.125" style="4" bestFit="1" customWidth="1"/>
    <col min="15327" max="15337" width="14.625" style="4" customWidth="1"/>
    <col min="15338" max="15338" width="10.125" style="4" customWidth="1"/>
    <col min="15339" max="15339" width="5.625" style="4" customWidth="1"/>
    <col min="15340" max="15340" width="19.75" style="4" customWidth="1"/>
    <col min="15341" max="15341" width="5.625" style="4" customWidth="1"/>
    <col min="15342" max="15364" width="10" style="4" customWidth="1"/>
    <col min="15365" max="15366" width="9" style="4"/>
    <col min="15367" max="15370" width="10.5" style="4" customWidth="1"/>
    <col min="15371" max="15575" width="9" style="4"/>
    <col min="15576" max="15576" width="14.125" style="4" customWidth="1"/>
    <col min="15577" max="15577" width="11.375" style="4" customWidth="1"/>
    <col min="15578" max="15579" width="1.875" style="4" customWidth="1"/>
    <col min="15580" max="15580" width="3" style="4" bestFit="1" customWidth="1"/>
    <col min="15581" max="15581" width="34.5" style="4" bestFit="1" customWidth="1"/>
    <col min="15582" max="15582" width="20.125" style="4" bestFit="1" customWidth="1"/>
    <col min="15583" max="15593" width="14.625" style="4" customWidth="1"/>
    <col min="15594" max="15594" width="10.125" style="4" customWidth="1"/>
    <col min="15595" max="15595" width="5.625" style="4" customWidth="1"/>
    <col min="15596" max="15596" width="19.75" style="4" customWidth="1"/>
    <col min="15597" max="15597" width="5.625" style="4" customWidth="1"/>
    <col min="15598" max="15620" width="10" style="4" customWidth="1"/>
    <col min="15621" max="15622" width="9" style="4"/>
    <col min="15623" max="15626" width="10.5" style="4" customWidth="1"/>
    <col min="15627" max="15831" width="9" style="4"/>
    <col min="15832" max="15832" width="14.125" style="4" customWidth="1"/>
    <col min="15833" max="15833" width="11.375" style="4" customWidth="1"/>
    <col min="15834" max="15835" width="1.875" style="4" customWidth="1"/>
    <col min="15836" max="15836" width="3" style="4" bestFit="1" customWidth="1"/>
    <col min="15837" max="15837" width="34.5" style="4" bestFit="1" customWidth="1"/>
    <col min="15838" max="15838" width="20.125" style="4" bestFit="1" customWidth="1"/>
    <col min="15839" max="15849" width="14.625" style="4" customWidth="1"/>
    <col min="15850" max="15850" width="10.125" style="4" customWidth="1"/>
    <col min="15851" max="15851" width="5.625" style="4" customWidth="1"/>
    <col min="15852" max="15852" width="19.75" style="4" customWidth="1"/>
    <col min="15853" max="15853" width="5.625" style="4" customWidth="1"/>
    <col min="15854" max="15876" width="10" style="4" customWidth="1"/>
    <col min="15877" max="15878" width="9" style="4"/>
    <col min="15879" max="15882" width="10.5" style="4" customWidth="1"/>
    <col min="15883" max="16087" width="9" style="4"/>
    <col min="16088" max="16088" width="14.125" style="4" customWidth="1"/>
    <col min="16089" max="16089" width="11.375" style="4" customWidth="1"/>
    <col min="16090" max="16091" width="1.875" style="4" customWidth="1"/>
    <col min="16092" max="16092" width="3" style="4" bestFit="1" customWidth="1"/>
    <col min="16093" max="16093" width="34.5" style="4" bestFit="1" customWidth="1"/>
    <col min="16094" max="16094" width="20.125" style="4" bestFit="1" customWidth="1"/>
    <col min="16095" max="16105" width="14.625" style="4" customWidth="1"/>
    <col min="16106" max="16106" width="10.125" style="4" customWidth="1"/>
    <col min="16107" max="16107" width="5.625" style="4" customWidth="1"/>
    <col min="16108" max="16108" width="19.75" style="4" customWidth="1"/>
    <col min="16109" max="16109" width="5.625" style="4" customWidth="1"/>
    <col min="16110" max="16132" width="10" style="4" customWidth="1"/>
    <col min="16133" max="16134" width="9" style="4"/>
    <col min="16135" max="16138" width="10.5" style="4" customWidth="1"/>
    <col min="16139" max="16384" width="9" style="4"/>
  </cols>
  <sheetData>
    <row r="1" spans="2:43" ht="14.25" thickBot="1"/>
    <row r="2" spans="2:43" ht="30" customHeight="1" thickBot="1">
      <c r="B2" s="804" t="s">
        <v>1168</v>
      </c>
      <c r="C2" s="821" t="s">
        <v>1167</v>
      </c>
      <c r="D2" s="596"/>
      <c r="E2" s="596"/>
      <c r="F2" s="596"/>
      <c r="J2" s="935" t="s">
        <v>1508</v>
      </c>
      <c r="K2" s="935" t="s">
        <v>546</v>
      </c>
      <c r="L2" s="935" t="s">
        <v>1509</v>
      </c>
      <c r="M2" s="936" t="s">
        <v>1510</v>
      </c>
      <c r="N2" s="937" t="s">
        <v>1511</v>
      </c>
      <c r="O2" s="938" t="s">
        <v>1512</v>
      </c>
      <c r="P2" s="939" t="s">
        <v>1164</v>
      </c>
      <c r="Q2" s="939"/>
      <c r="R2" s="940"/>
      <c r="S2" s="941"/>
      <c r="T2" s="941"/>
      <c r="U2" s="941"/>
      <c r="V2" s="941"/>
      <c r="W2" s="941"/>
      <c r="X2" s="941"/>
      <c r="Y2" s="941"/>
      <c r="Z2" s="941"/>
      <c r="AA2" s="941"/>
      <c r="AB2" s="942" t="s">
        <v>1513</v>
      </c>
      <c r="AC2" s="943"/>
      <c r="AD2" s="943"/>
      <c r="AE2" s="943"/>
      <c r="AF2" s="943"/>
      <c r="AG2" s="943"/>
      <c r="AH2" s="943"/>
      <c r="AI2" s="943"/>
      <c r="AJ2" s="943"/>
      <c r="AK2" s="944"/>
      <c r="AL2" s="1201" t="s">
        <v>1789</v>
      </c>
      <c r="AM2" s="941"/>
      <c r="AN2" s="941"/>
      <c r="AO2" s="941"/>
      <c r="AP2" s="941"/>
      <c r="AQ2" s="1202"/>
    </row>
    <row r="3" spans="2:43" ht="18" customHeight="1">
      <c r="B3" s="804" t="s">
        <v>400</v>
      </c>
      <c r="C3" s="821">
        <f>一般事項!F5</f>
        <v>0</v>
      </c>
      <c r="D3" s="596"/>
      <c r="E3" s="596"/>
      <c r="F3" s="596"/>
      <c r="J3" s="945"/>
      <c r="K3" s="945"/>
      <c r="L3" s="945"/>
      <c r="M3" s="946"/>
      <c r="N3" s="947"/>
      <c r="O3" s="948"/>
      <c r="P3" s="949" t="s">
        <v>1514</v>
      </c>
      <c r="Q3" s="950" t="s">
        <v>1515</v>
      </c>
      <c r="R3" s="950" t="s">
        <v>421</v>
      </c>
      <c r="S3" s="951" t="s">
        <v>1516</v>
      </c>
      <c r="T3" s="951"/>
      <c r="U3" s="951"/>
      <c r="V3" s="951"/>
      <c r="W3" s="951"/>
      <c r="X3" s="951"/>
      <c r="Y3" s="951"/>
      <c r="Z3" s="951" t="s">
        <v>1517</v>
      </c>
      <c r="AA3" s="951"/>
      <c r="AB3" s="952" t="s">
        <v>1518</v>
      </c>
      <c r="AC3" s="953"/>
      <c r="AD3" s="953"/>
      <c r="AE3" s="954"/>
      <c r="AF3" s="952" t="s">
        <v>1519</v>
      </c>
      <c r="AG3" s="953"/>
      <c r="AH3" s="953"/>
      <c r="AI3" s="953"/>
      <c r="AJ3" s="954"/>
      <c r="AK3" s="955" t="s">
        <v>1124</v>
      </c>
      <c r="AL3" s="952" t="s">
        <v>1788</v>
      </c>
      <c r="AM3" s="953"/>
      <c r="AN3" s="953"/>
      <c r="AO3" s="953"/>
      <c r="AP3" s="953"/>
      <c r="AQ3" s="954"/>
    </row>
    <row r="4" spans="2:43" ht="18" customHeight="1" thickBot="1">
      <c r="B4" s="886" t="s">
        <v>1165</v>
      </c>
      <c r="C4" s="885">
        <v>2019</v>
      </c>
      <c r="D4" s="956"/>
      <c r="E4" s="957"/>
      <c r="F4" s="957"/>
      <c r="J4" s="958"/>
      <c r="K4" s="958"/>
      <c r="L4" s="959"/>
      <c r="M4" s="960"/>
      <c r="N4" s="961"/>
      <c r="O4" s="962"/>
      <c r="P4" s="963"/>
      <c r="Q4" s="964"/>
      <c r="R4" s="964"/>
      <c r="S4" s="965" t="s">
        <v>1520</v>
      </c>
      <c r="T4" s="965" t="s">
        <v>1521</v>
      </c>
      <c r="U4" s="965" t="s">
        <v>1522</v>
      </c>
      <c r="V4" s="965" t="s">
        <v>1523</v>
      </c>
      <c r="W4" s="965" t="s">
        <v>1524</v>
      </c>
      <c r="X4" s="965" t="s">
        <v>1525</v>
      </c>
      <c r="Y4" s="965" t="s">
        <v>1526</v>
      </c>
      <c r="Z4" s="965" t="s">
        <v>1527</v>
      </c>
      <c r="AA4" s="965" t="s">
        <v>1528</v>
      </c>
      <c r="AB4" s="966" t="s">
        <v>1622</v>
      </c>
      <c r="AC4" s="967" t="s">
        <v>1623</v>
      </c>
      <c r="AD4" s="967" t="s">
        <v>1473</v>
      </c>
      <c r="AE4" s="968" t="s">
        <v>1474</v>
      </c>
      <c r="AF4" s="966" t="s">
        <v>1529</v>
      </c>
      <c r="AG4" s="967" t="s">
        <v>1530</v>
      </c>
      <c r="AH4" s="967" t="s">
        <v>1531</v>
      </c>
      <c r="AI4" s="967" t="s">
        <v>1532</v>
      </c>
      <c r="AJ4" s="968" t="s">
        <v>1533</v>
      </c>
      <c r="AK4" s="969"/>
      <c r="AL4" s="1198" t="s">
        <v>1664</v>
      </c>
      <c r="AM4" s="1199" t="s">
        <v>1665</v>
      </c>
      <c r="AN4" s="1199" t="s">
        <v>1791</v>
      </c>
      <c r="AO4" s="1199" t="s">
        <v>1666</v>
      </c>
      <c r="AP4" s="1199" t="s">
        <v>1667</v>
      </c>
      <c r="AQ4" s="1200" t="s">
        <v>1668</v>
      </c>
    </row>
    <row r="5" spans="2:43" ht="12.75" customHeight="1">
      <c r="B5" s="7"/>
      <c r="C5" s="7"/>
      <c r="G5" s="884"/>
      <c r="H5" s="124"/>
      <c r="I5" s="124"/>
      <c r="J5" s="970">
        <v>1</v>
      </c>
      <c r="K5" s="971" t="s">
        <v>1161</v>
      </c>
      <c r="L5" s="972">
        <v>6000</v>
      </c>
      <c r="M5" s="973">
        <v>1000000</v>
      </c>
      <c r="N5" s="974">
        <v>238.6</v>
      </c>
      <c r="O5" s="975">
        <v>-0.1888</v>
      </c>
      <c r="P5" s="976"/>
      <c r="Q5" s="976"/>
      <c r="R5" s="977"/>
      <c r="S5" s="978">
        <v>0.95</v>
      </c>
      <c r="T5" s="978">
        <v>0.95</v>
      </c>
      <c r="U5" s="978">
        <v>0.95</v>
      </c>
      <c r="V5" s="978">
        <v>0.9</v>
      </c>
      <c r="W5" s="978">
        <v>0.9</v>
      </c>
      <c r="X5" s="978">
        <v>0.9</v>
      </c>
      <c r="Y5" s="978">
        <v>0.85</v>
      </c>
      <c r="Z5" s="978"/>
      <c r="AA5" s="978"/>
      <c r="AB5" s="979">
        <v>0.02</v>
      </c>
      <c r="AC5" s="978">
        <v>0.01</v>
      </c>
      <c r="AD5" s="978">
        <v>1.4999999999999999E-2</v>
      </c>
      <c r="AE5" s="978">
        <v>0</v>
      </c>
      <c r="AF5" s="979"/>
      <c r="AG5" s="978"/>
      <c r="AH5" s="978"/>
      <c r="AI5" s="978"/>
      <c r="AJ5" s="978"/>
      <c r="AK5" s="980"/>
      <c r="AL5" s="979"/>
      <c r="AM5" s="978"/>
      <c r="AN5" s="978"/>
      <c r="AO5" s="978"/>
      <c r="AP5" s="978"/>
      <c r="AQ5" s="980"/>
    </row>
    <row r="6" spans="2:43" ht="20.25" customHeight="1">
      <c r="B6" s="10" t="s">
        <v>1166</v>
      </c>
      <c r="C6" s="981" t="e">
        <f>IF(AND(C17="1：国土交通省(建設)",C20="有り"),C35*B31,C36*B31)</f>
        <v>#N/A</v>
      </c>
      <c r="D6" s="41"/>
      <c r="E6" s="41"/>
      <c r="F6" s="41"/>
      <c r="G6" s="41"/>
      <c r="J6" s="982">
        <v>1</v>
      </c>
      <c r="K6" s="983" t="s">
        <v>1160</v>
      </c>
      <c r="L6" s="984">
        <v>6000</v>
      </c>
      <c r="M6" s="985">
        <v>1000000</v>
      </c>
      <c r="N6" s="986">
        <v>1228.3</v>
      </c>
      <c r="O6" s="987">
        <v>-0.26140000000000002</v>
      </c>
      <c r="P6" s="988"/>
      <c r="Q6" s="988"/>
      <c r="R6" s="989"/>
      <c r="S6" s="990">
        <v>0.95</v>
      </c>
      <c r="T6" s="990">
        <v>0.95</v>
      </c>
      <c r="U6" s="990">
        <v>0.95</v>
      </c>
      <c r="V6" s="990">
        <v>0.9</v>
      </c>
      <c r="W6" s="990">
        <v>0.9</v>
      </c>
      <c r="X6" s="990">
        <v>0.9</v>
      </c>
      <c r="Y6" s="990">
        <v>0.85</v>
      </c>
      <c r="Z6" s="990"/>
      <c r="AA6" s="990"/>
      <c r="AB6" s="991">
        <v>0.02</v>
      </c>
      <c r="AC6" s="990">
        <v>0.01</v>
      </c>
      <c r="AD6" s="990">
        <v>1.4999999999999999E-2</v>
      </c>
      <c r="AE6" s="990">
        <v>0</v>
      </c>
      <c r="AF6" s="991"/>
      <c r="AG6" s="990"/>
      <c r="AH6" s="990"/>
      <c r="AI6" s="990"/>
      <c r="AJ6" s="990"/>
      <c r="AK6" s="992"/>
      <c r="AL6" s="991"/>
      <c r="AM6" s="990"/>
      <c r="AN6" s="990"/>
      <c r="AO6" s="990"/>
      <c r="AP6" s="990"/>
      <c r="AQ6" s="992"/>
    </row>
    <row r="7" spans="2:43" ht="20.25" customHeight="1">
      <c r="B7" s="64"/>
      <c r="C7" s="993"/>
      <c r="D7" s="41"/>
      <c r="E7" s="41"/>
      <c r="F7" s="41"/>
      <c r="J7" s="982">
        <v>1</v>
      </c>
      <c r="K7" s="983" t="s">
        <v>1159</v>
      </c>
      <c r="L7" s="984">
        <v>6000</v>
      </c>
      <c r="M7" s="985">
        <v>1000000</v>
      </c>
      <c r="N7" s="994">
        <v>407.9</v>
      </c>
      <c r="O7" s="995">
        <v>-0.22040000000000001</v>
      </c>
      <c r="P7" s="988"/>
      <c r="Q7" s="988"/>
      <c r="R7" s="989"/>
      <c r="S7" s="990">
        <v>0.95</v>
      </c>
      <c r="T7" s="990">
        <v>0.95</v>
      </c>
      <c r="U7" s="990">
        <v>0.95</v>
      </c>
      <c r="V7" s="990">
        <v>0.9</v>
      </c>
      <c r="W7" s="990">
        <v>0.9</v>
      </c>
      <c r="X7" s="990">
        <v>0.9</v>
      </c>
      <c r="Y7" s="990">
        <v>0.85</v>
      </c>
      <c r="Z7" s="990"/>
      <c r="AA7" s="990"/>
      <c r="AB7" s="991">
        <v>0.02</v>
      </c>
      <c r="AC7" s="990">
        <v>0.01</v>
      </c>
      <c r="AD7" s="990">
        <v>1.4999999999999999E-2</v>
      </c>
      <c r="AE7" s="990">
        <v>0</v>
      </c>
      <c r="AF7" s="991"/>
      <c r="AG7" s="990"/>
      <c r="AH7" s="990"/>
      <c r="AI7" s="990"/>
      <c r="AJ7" s="990"/>
      <c r="AK7" s="992"/>
      <c r="AL7" s="991"/>
      <c r="AM7" s="990"/>
      <c r="AN7" s="990"/>
      <c r="AO7" s="990"/>
      <c r="AP7" s="990"/>
      <c r="AQ7" s="992"/>
    </row>
    <row r="8" spans="2:43" ht="20.25" customHeight="1">
      <c r="B8" s="4" t="s">
        <v>1534</v>
      </c>
      <c r="E8" s="41"/>
      <c r="F8" s="41"/>
      <c r="G8" s="41"/>
      <c r="J8" s="982">
        <v>1</v>
      </c>
      <c r="K8" s="983" t="s">
        <v>1158</v>
      </c>
      <c r="L8" s="984">
        <v>6000</v>
      </c>
      <c r="M8" s="985">
        <v>1000000</v>
      </c>
      <c r="N8" s="994">
        <v>57</v>
      </c>
      <c r="O8" s="995">
        <v>-9.5799999999999996E-2</v>
      </c>
      <c r="P8" s="988"/>
      <c r="Q8" s="988"/>
      <c r="R8" s="989"/>
      <c r="S8" s="990">
        <v>0.95</v>
      </c>
      <c r="T8" s="990">
        <v>0.95</v>
      </c>
      <c r="U8" s="990">
        <v>0.95</v>
      </c>
      <c r="V8" s="990">
        <v>0.9</v>
      </c>
      <c r="W8" s="990">
        <v>0.9</v>
      </c>
      <c r="X8" s="990">
        <v>0.9</v>
      </c>
      <c r="Y8" s="990">
        <v>0.85</v>
      </c>
      <c r="Z8" s="990"/>
      <c r="AA8" s="990"/>
      <c r="AB8" s="991">
        <v>0.02</v>
      </c>
      <c r="AC8" s="990">
        <v>0.01</v>
      </c>
      <c r="AD8" s="990">
        <v>1.4999999999999999E-2</v>
      </c>
      <c r="AE8" s="990">
        <v>0</v>
      </c>
      <c r="AF8" s="991"/>
      <c r="AG8" s="990"/>
      <c r="AH8" s="990"/>
      <c r="AI8" s="990"/>
      <c r="AJ8" s="990"/>
      <c r="AK8" s="992"/>
      <c r="AL8" s="991"/>
      <c r="AM8" s="990"/>
      <c r="AN8" s="990"/>
      <c r="AO8" s="990"/>
      <c r="AP8" s="990"/>
      <c r="AQ8" s="992"/>
    </row>
    <row r="9" spans="2:43" ht="20.25" customHeight="1">
      <c r="B9" s="996" t="str">
        <f>IF(AND(C20="無し",D27=0,D21=1),"○","")</f>
        <v>○</v>
      </c>
      <c r="C9" s="996" t="str">
        <f>IF((C$23="2：補正無し")*(C$24="3：補正無し"),"A-1",IF(OR(C$23="1：補正有り(×1.5)",$C$24&lt;&gt;"3：補正無し"),"B-1","復興補正未入力"))</f>
        <v>B-1</v>
      </c>
      <c r="F9" s="41"/>
      <c r="G9" s="41"/>
      <c r="J9" s="982">
        <v>1</v>
      </c>
      <c r="K9" s="983" t="s">
        <v>1157</v>
      </c>
      <c r="L9" s="984">
        <v>6000</v>
      </c>
      <c r="M9" s="985">
        <v>1000000</v>
      </c>
      <c r="N9" s="986">
        <v>10668.4</v>
      </c>
      <c r="O9" s="987">
        <v>-0.36059999999999998</v>
      </c>
      <c r="P9" s="988"/>
      <c r="Q9" s="988">
        <v>1.5</v>
      </c>
      <c r="R9" s="989">
        <v>1.3</v>
      </c>
      <c r="S9" s="990">
        <v>0.95</v>
      </c>
      <c r="T9" s="990">
        <v>0.95</v>
      </c>
      <c r="U9" s="990">
        <v>0.95</v>
      </c>
      <c r="V9" s="990">
        <v>0.9</v>
      </c>
      <c r="W9" s="990">
        <v>0.9</v>
      </c>
      <c r="X9" s="990">
        <v>0.9</v>
      </c>
      <c r="Y9" s="990">
        <v>0.85</v>
      </c>
      <c r="Z9" s="990"/>
      <c r="AA9" s="990"/>
      <c r="AB9" s="991">
        <v>0.02</v>
      </c>
      <c r="AC9" s="990">
        <v>0.01</v>
      </c>
      <c r="AD9" s="990">
        <v>1.4999999999999999E-2</v>
      </c>
      <c r="AE9" s="990">
        <v>0</v>
      </c>
      <c r="AF9" s="991"/>
      <c r="AG9" s="990"/>
      <c r="AH9" s="990"/>
      <c r="AI9" s="990"/>
      <c r="AJ9" s="990"/>
      <c r="AK9" s="992"/>
      <c r="AL9" s="991"/>
      <c r="AM9" s="990"/>
      <c r="AN9" s="990"/>
      <c r="AO9" s="990"/>
      <c r="AP9" s="990"/>
      <c r="AQ9" s="992"/>
    </row>
    <row r="10" spans="2:43" ht="20.25" customHeight="1">
      <c r="B10" s="997" t="str">
        <f>IF(AND(C20="無し",D27&gt;0),"○","")</f>
        <v/>
      </c>
      <c r="C10" s="996" t="str">
        <f>IF((C$23="2：補正無し")*(C$24="3：補正無し"),"A-2",IF(OR(C$23="1：補正有り(×1.5)",$C$24&lt;&gt;"3：補正無し"),"B-2","復興補正未入力"))</f>
        <v>B-2</v>
      </c>
      <c r="F10" s="41"/>
      <c r="G10" s="41"/>
      <c r="J10" s="982">
        <v>1</v>
      </c>
      <c r="K10" s="983" t="s">
        <v>1535</v>
      </c>
      <c r="L10" s="984">
        <v>6000</v>
      </c>
      <c r="M10" s="985">
        <v>1000000</v>
      </c>
      <c r="N10" s="994">
        <v>1636.8</v>
      </c>
      <c r="O10" s="995">
        <v>-0.26290000000000002</v>
      </c>
      <c r="P10" s="988"/>
      <c r="Q10" s="988"/>
      <c r="R10" s="989"/>
      <c r="S10" s="990">
        <v>0.95</v>
      </c>
      <c r="T10" s="990">
        <v>0.95</v>
      </c>
      <c r="U10" s="990">
        <v>0.95</v>
      </c>
      <c r="V10" s="990">
        <v>0.9</v>
      </c>
      <c r="W10" s="990">
        <v>0.9</v>
      </c>
      <c r="X10" s="990">
        <v>0.9</v>
      </c>
      <c r="Y10" s="990">
        <v>0.85</v>
      </c>
      <c r="Z10" s="990"/>
      <c r="AA10" s="990"/>
      <c r="AB10" s="991">
        <v>0.02</v>
      </c>
      <c r="AC10" s="990">
        <v>0.01</v>
      </c>
      <c r="AD10" s="990">
        <v>1.4999999999999999E-2</v>
      </c>
      <c r="AE10" s="990">
        <v>0</v>
      </c>
      <c r="AF10" s="991"/>
      <c r="AG10" s="990"/>
      <c r="AH10" s="990"/>
      <c r="AI10" s="990"/>
      <c r="AJ10" s="990"/>
      <c r="AK10" s="992"/>
      <c r="AL10" s="991"/>
      <c r="AM10" s="990"/>
      <c r="AN10" s="990"/>
      <c r="AO10" s="990"/>
      <c r="AP10" s="990"/>
      <c r="AQ10" s="992"/>
    </row>
    <row r="11" spans="2:43" ht="20.25" customHeight="1">
      <c r="B11" s="998" t="str">
        <f>IF(AND(C20="無し",D21&lt;1),"○","")</f>
        <v/>
      </c>
      <c r="C11" s="996" t="str">
        <f>IF((C$23="2：補正無し")*(C$24="3：補正無し"),"A-3",IF(OR(C$23="1：補正有り(×1.5)",$C$24&lt;&gt;"3：補正無し"),"B-3","復興補正未入力"))</f>
        <v>B-3</v>
      </c>
      <c r="F11" s="41"/>
      <c r="G11" s="41"/>
      <c r="J11" s="982">
        <v>1</v>
      </c>
      <c r="K11" s="983" t="s">
        <v>1536</v>
      </c>
      <c r="L11" s="984">
        <v>6000</v>
      </c>
      <c r="M11" s="985">
        <v>1000000</v>
      </c>
      <c r="N11" s="994">
        <v>435.1</v>
      </c>
      <c r="O11" s="995">
        <v>-0.2074</v>
      </c>
      <c r="P11" s="988">
        <v>2</v>
      </c>
      <c r="Q11" s="988">
        <v>1.5</v>
      </c>
      <c r="R11" s="989">
        <v>1.3</v>
      </c>
      <c r="S11" s="990">
        <v>0.95</v>
      </c>
      <c r="T11" s="990">
        <v>0.95</v>
      </c>
      <c r="U11" s="990">
        <v>0.95</v>
      </c>
      <c r="V11" s="990">
        <v>0.9</v>
      </c>
      <c r="W11" s="990">
        <v>0.9</v>
      </c>
      <c r="X11" s="990">
        <v>0.9</v>
      </c>
      <c r="Y11" s="990">
        <v>0.85</v>
      </c>
      <c r="Z11" s="990"/>
      <c r="AA11" s="990"/>
      <c r="AB11" s="991">
        <v>0.02</v>
      </c>
      <c r="AC11" s="990">
        <v>0.01</v>
      </c>
      <c r="AD11" s="990">
        <v>1.4999999999999999E-2</v>
      </c>
      <c r="AE11" s="990">
        <v>0</v>
      </c>
      <c r="AF11" s="991"/>
      <c r="AG11" s="990"/>
      <c r="AH11" s="990"/>
      <c r="AI11" s="990"/>
      <c r="AJ11" s="990"/>
      <c r="AK11" s="992"/>
      <c r="AL11" s="991"/>
      <c r="AM11" s="990"/>
      <c r="AN11" s="990"/>
      <c r="AO11" s="990"/>
      <c r="AP11" s="990"/>
      <c r="AQ11" s="992"/>
    </row>
    <row r="12" spans="2:43" ht="20.25" customHeight="1">
      <c r="B12" s="998" t="str">
        <f>IF(AND(C20="有り",D21=1),"○","")</f>
        <v/>
      </c>
      <c r="C12" s="996" t="str">
        <f>IF((C$23="2：補正無し")*(C$24="3：補正無し"),"A-4",IF(OR(C$23="1：補正有り(×1.5)",$C$24&lt;&gt;"3：補正無し"),"B-4","復興補正未入力"))</f>
        <v>B-4</v>
      </c>
      <c r="F12" s="41"/>
      <c r="G12" s="41"/>
      <c r="J12" s="982">
        <v>1</v>
      </c>
      <c r="K12" s="983" t="s">
        <v>1537</v>
      </c>
      <c r="L12" s="984">
        <v>6000</v>
      </c>
      <c r="M12" s="985">
        <v>1000000</v>
      </c>
      <c r="N12" s="994">
        <v>435.1</v>
      </c>
      <c r="O12" s="995">
        <v>-0.2074</v>
      </c>
      <c r="P12" s="988">
        <v>2</v>
      </c>
      <c r="Q12" s="988">
        <v>1.5</v>
      </c>
      <c r="R12" s="989">
        <v>1.3</v>
      </c>
      <c r="S12" s="990">
        <v>0.95</v>
      </c>
      <c r="T12" s="990">
        <v>0.95</v>
      </c>
      <c r="U12" s="990">
        <v>0.95</v>
      </c>
      <c r="V12" s="990">
        <v>0.9</v>
      </c>
      <c r="W12" s="990">
        <v>0.9</v>
      </c>
      <c r="X12" s="990">
        <v>0.9</v>
      </c>
      <c r="Y12" s="990">
        <v>0.85</v>
      </c>
      <c r="Z12" s="990"/>
      <c r="AA12" s="990"/>
      <c r="AB12" s="991">
        <v>0.02</v>
      </c>
      <c r="AC12" s="990">
        <v>0.01</v>
      </c>
      <c r="AD12" s="990">
        <v>1.4999999999999999E-2</v>
      </c>
      <c r="AE12" s="990">
        <v>0</v>
      </c>
      <c r="AF12" s="991"/>
      <c r="AG12" s="990"/>
      <c r="AH12" s="990"/>
      <c r="AI12" s="990"/>
      <c r="AJ12" s="990"/>
      <c r="AK12" s="992"/>
      <c r="AL12" s="991"/>
      <c r="AM12" s="990"/>
      <c r="AN12" s="990"/>
      <c r="AO12" s="990"/>
      <c r="AP12" s="990"/>
      <c r="AQ12" s="992"/>
    </row>
    <row r="13" spans="2:43" ht="20.25" customHeight="1">
      <c r="B13" s="998" t="str">
        <f>IF(AND(C20="有り",D21&lt;1),"○","")</f>
        <v/>
      </c>
      <c r="C13" s="996" t="str">
        <f>IF((C$23="2：補正無し")*(C$24="3：補正無し"),"A-5",IF(OR(C$23="1：補正有り(×1.5)",$C$24&lt;&gt;"3：補正無し"),"B-5","復興補正未入力"))</f>
        <v>B-5</v>
      </c>
      <c r="F13" s="41"/>
      <c r="G13" s="41"/>
      <c r="J13" s="982">
        <v>1</v>
      </c>
      <c r="K13" s="983" t="s">
        <v>1156</v>
      </c>
      <c r="L13" s="984">
        <v>6000</v>
      </c>
      <c r="M13" s="985">
        <v>1000000</v>
      </c>
      <c r="N13" s="994">
        <v>624.5</v>
      </c>
      <c r="O13" s="995">
        <v>-0.23810000000000001</v>
      </c>
      <c r="P13" s="988"/>
      <c r="Q13" s="988"/>
      <c r="R13" s="989"/>
      <c r="S13" s="990">
        <v>0.95</v>
      </c>
      <c r="T13" s="990">
        <v>0.95</v>
      </c>
      <c r="U13" s="990">
        <v>0.95</v>
      </c>
      <c r="V13" s="990">
        <v>0.9</v>
      </c>
      <c r="W13" s="990">
        <v>0.9</v>
      </c>
      <c r="X13" s="990">
        <v>0.9</v>
      </c>
      <c r="Y13" s="990">
        <v>0.85</v>
      </c>
      <c r="Z13" s="990"/>
      <c r="AA13" s="990"/>
      <c r="AB13" s="991">
        <v>0.02</v>
      </c>
      <c r="AC13" s="990">
        <v>0.01</v>
      </c>
      <c r="AD13" s="990">
        <v>1.4999999999999999E-2</v>
      </c>
      <c r="AE13" s="990">
        <v>0</v>
      </c>
      <c r="AF13" s="991"/>
      <c r="AG13" s="990"/>
      <c r="AH13" s="990"/>
      <c r="AI13" s="990"/>
      <c r="AJ13" s="990"/>
      <c r="AK13" s="992"/>
      <c r="AL13" s="991"/>
      <c r="AM13" s="990"/>
      <c r="AN13" s="990"/>
      <c r="AO13" s="990"/>
      <c r="AP13" s="990"/>
      <c r="AQ13" s="992"/>
    </row>
    <row r="14" spans="2:43" ht="20.25" customHeight="1">
      <c r="B14" s="998" t="str">
        <f>IF(D22&lt;1,"○","")</f>
        <v/>
      </c>
      <c r="C14" s="996" t="str">
        <f>IF((C$23="2：補正無し")*(C$24="3：補正無し"),"A-6",IF(OR(C$23="1：補正有り(×1.5)",$C$24&lt;&gt;"3：補正無し"),"","復興補正未入力"))</f>
        <v/>
      </c>
      <c r="J14" s="982">
        <v>1</v>
      </c>
      <c r="K14" s="983" t="s">
        <v>1155</v>
      </c>
      <c r="L14" s="984">
        <v>6000</v>
      </c>
      <c r="M14" s="985">
        <v>1000000</v>
      </c>
      <c r="N14" s="994">
        <v>48</v>
      </c>
      <c r="O14" s="995">
        <v>-9.5600000000000004E-2</v>
      </c>
      <c r="P14" s="988"/>
      <c r="Q14" s="988"/>
      <c r="R14" s="989"/>
      <c r="S14" s="990">
        <v>0.95</v>
      </c>
      <c r="T14" s="990">
        <v>0.95</v>
      </c>
      <c r="U14" s="990">
        <v>0.95</v>
      </c>
      <c r="V14" s="990">
        <v>0.9</v>
      </c>
      <c r="W14" s="990">
        <v>0.9</v>
      </c>
      <c r="X14" s="990">
        <v>0.9</v>
      </c>
      <c r="Y14" s="990">
        <v>0.85</v>
      </c>
      <c r="Z14" s="990"/>
      <c r="AA14" s="990"/>
      <c r="AB14" s="991">
        <v>0.02</v>
      </c>
      <c r="AC14" s="990">
        <v>0.01</v>
      </c>
      <c r="AD14" s="990">
        <v>1.4999999999999999E-2</v>
      </c>
      <c r="AE14" s="990">
        <v>0</v>
      </c>
      <c r="AF14" s="991"/>
      <c r="AG14" s="990"/>
      <c r="AH14" s="990"/>
      <c r="AI14" s="990"/>
      <c r="AJ14" s="990"/>
      <c r="AK14" s="992"/>
      <c r="AL14" s="991"/>
      <c r="AM14" s="990"/>
      <c r="AN14" s="990"/>
      <c r="AO14" s="990"/>
      <c r="AP14" s="990"/>
      <c r="AQ14" s="992"/>
    </row>
    <row r="15" spans="2:43" ht="20.25" customHeight="1">
      <c r="B15" s="596"/>
      <c r="C15" s="999"/>
      <c r="D15" s="999"/>
      <c r="J15" s="982">
        <v>1</v>
      </c>
      <c r="K15" s="983" t="s">
        <v>1154</v>
      </c>
      <c r="L15" s="984">
        <v>6000</v>
      </c>
      <c r="M15" s="985">
        <v>1000000</v>
      </c>
      <c r="N15" s="994">
        <v>40</v>
      </c>
      <c r="O15" s="995">
        <v>-8.9099999999999999E-2</v>
      </c>
      <c r="P15" s="988">
        <v>2</v>
      </c>
      <c r="Q15" s="988">
        <v>1.5</v>
      </c>
      <c r="R15" s="989">
        <v>1.3</v>
      </c>
      <c r="S15" s="990">
        <v>0.95</v>
      </c>
      <c r="T15" s="990">
        <v>0.95</v>
      </c>
      <c r="U15" s="990">
        <v>0.95</v>
      </c>
      <c r="V15" s="990">
        <v>0.9</v>
      </c>
      <c r="W15" s="990">
        <v>0.9</v>
      </c>
      <c r="X15" s="990">
        <v>0.9</v>
      </c>
      <c r="Y15" s="990">
        <v>0.85</v>
      </c>
      <c r="Z15" s="990"/>
      <c r="AA15" s="990"/>
      <c r="AB15" s="991"/>
      <c r="AC15" s="990"/>
      <c r="AD15" s="990"/>
      <c r="AE15" s="990"/>
      <c r="AF15" s="991"/>
      <c r="AG15" s="990"/>
      <c r="AH15" s="990"/>
      <c r="AI15" s="990"/>
      <c r="AJ15" s="990"/>
      <c r="AK15" s="992"/>
      <c r="AL15" s="991"/>
      <c r="AM15" s="990"/>
      <c r="AN15" s="990"/>
      <c r="AO15" s="990"/>
      <c r="AP15" s="990"/>
      <c r="AQ15" s="992"/>
    </row>
    <row r="16" spans="2:43" ht="20.25" customHeight="1">
      <c r="B16" s="838" t="s">
        <v>1538</v>
      </c>
      <c r="C16" s="838"/>
      <c r="D16" s="1000"/>
      <c r="J16" s="982">
        <v>1</v>
      </c>
      <c r="K16" s="983" t="s">
        <v>1153</v>
      </c>
      <c r="L16" s="984">
        <v>6000</v>
      </c>
      <c r="M16" s="985">
        <v>1000000</v>
      </c>
      <c r="N16" s="994">
        <v>494.9</v>
      </c>
      <c r="O16" s="995">
        <v>-0.20910000000000001</v>
      </c>
      <c r="P16" s="988"/>
      <c r="Q16" s="988"/>
      <c r="R16" s="989"/>
      <c r="S16" s="990">
        <v>0.95</v>
      </c>
      <c r="T16" s="990">
        <v>0.95</v>
      </c>
      <c r="U16" s="990">
        <v>0.95</v>
      </c>
      <c r="V16" s="990">
        <v>0.9</v>
      </c>
      <c r="W16" s="990">
        <v>0.9</v>
      </c>
      <c r="X16" s="990">
        <v>0.9</v>
      </c>
      <c r="Y16" s="990">
        <v>0.85</v>
      </c>
      <c r="Z16" s="990"/>
      <c r="AA16" s="990"/>
      <c r="AB16" s="991">
        <v>0.02</v>
      </c>
      <c r="AC16" s="990">
        <v>0.01</v>
      </c>
      <c r="AD16" s="990">
        <v>1.4999999999999999E-2</v>
      </c>
      <c r="AE16" s="990">
        <v>0</v>
      </c>
      <c r="AF16" s="991"/>
      <c r="AG16" s="990"/>
      <c r="AH16" s="990"/>
      <c r="AI16" s="990"/>
      <c r="AJ16" s="990"/>
      <c r="AK16" s="992"/>
      <c r="AL16" s="991"/>
      <c r="AM16" s="990"/>
      <c r="AN16" s="990"/>
      <c r="AO16" s="990"/>
      <c r="AP16" s="990"/>
      <c r="AQ16" s="992"/>
    </row>
    <row r="17" spans="2:43" ht="20.25" customHeight="1">
      <c r="B17" s="1001" t="s">
        <v>1539</v>
      </c>
      <c r="C17" s="1002" t="str">
        <f>工事情報!G5</f>
        <v>3：国土交通省(航空)</v>
      </c>
      <c r="D17" s="1003"/>
      <c r="E17" s="124"/>
      <c r="J17" s="982">
        <v>1</v>
      </c>
      <c r="K17" s="1004" t="s">
        <v>1540</v>
      </c>
      <c r="L17" s="1005">
        <v>6000</v>
      </c>
      <c r="M17" s="1006">
        <v>300000</v>
      </c>
      <c r="N17" s="986">
        <v>7050.2</v>
      </c>
      <c r="O17" s="987">
        <v>-0.35580000000000001</v>
      </c>
      <c r="P17" s="988"/>
      <c r="Q17" s="988"/>
      <c r="R17" s="989">
        <v>1.3</v>
      </c>
      <c r="S17" s="990">
        <v>0.95</v>
      </c>
      <c r="T17" s="990">
        <v>0.95</v>
      </c>
      <c r="U17" s="990">
        <v>0.95</v>
      </c>
      <c r="V17" s="990">
        <v>0.9</v>
      </c>
      <c r="W17" s="990">
        <v>0.9</v>
      </c>
      <c r="X17" s="990">
        <v>0.9</v>
      </c>
      <c r="Y17" s="990">
        <v>0.85</v>
      </c>
      <c r="Z17" s="990"/>
      <c r="AA17" s="990"/>
      <c r="AB17" s="991">
        <v>0.02</v>
      </c>
      <c r="AC17" s="990">
        <v>0.01</v>
      </c>
      <c r="AD17" s="990">
        <v>1.4999999999999999E-2</v>
      </c>
      <c r="AE17" s="990">
        <v>0</v>
      </c>
      <c r="AF17" s="991"/>
      <c r="AG17" s="990"/>
      <c r="AH17" s="990"/>
      <c r="AI17" s="990"/>
      <c r="AJ17" s="990"/>
      <c r="AK17" s="992"/>
      <c r="AL17" s="991"/>
      <c r="AM17" s="990"/>
      <c r="AN17" s="990"/>
      <c r="AO17" s="990"/>
      <c r="AP17" s="990"/>
      <c r="AQ17" s="992"/>
    </row>
    <row r="18" spans="2:43" ht="20.25" customHeight="1">
      <c r="B18" s="1007" t="s">
        <v>546</v>
      </c>
      <c r="C18" s="1007" t="str">
        <f>MID(一般事項!F20,5,100)</f>
        <v/>
      </c>
      <c r="D18" s="1008"/>
      <c r="E18" s="124"/>
      <c r="J18" s="982">
        <v>1</v>
      </c>
      <c r="K18" s="983" t="s">
        <v>1149</v>
      </c>
      <c r="L18" s="984">
        <v>2000</v>
      </c>
      <c r="M18" s="985">
        <v>100000</v>
      </c>
      <c r="N18" s="986">
        <v>4118.1000000000004</v>
      </c>
      <c r="O18" s="987">
        <v>-0.3548</v>
      </c>
      <c r="P18" s="988">
        <v>2</v>
      </c>
      <c r="Q18" s="988">
        <v>1.5</v>
      </c>
      <c r="R18" s="989">
        <v>1.3</v>
      </c>
      <c r="S18" s="990">
        <v>0.95</v>
      </c>
      <c r="T18" s="990">
        <v>0.95</v>
      </c>
      <c r="U18" s="990">
        <v>0.95</v>
      </c>
      <c r="V18" s="990">
        <v>0.9</v>
      </c>
      <c r="W18" s="990">
        <v>0.9</v>
      </c>
      <c r="X18" s="990">
        <v>0.9</v>
      </c>
      <c r="Y18" s="990">
        <v>0.85</v>
      </c>
      <c r="Z18" s="990"/>
      <c r="AA18" s="990"/>
      <c r="AB18" s="991">
        <v>0.02</v>
      </c>
      <c r="AC18" s="990">
        <v>0.01</v>
      </c>
      <c r="AD18" s="990">
        <v>1.4999999999999999E-2</v>
      </c>
      <c r="AE18" s="990">
        <v>0</v>
      </c>
      <c r="AF18" s="991"/>
      <c r="AG18" s="990"/>
      <c r="AH18" s="990"/>
      <c r="AI18" s="990"/>
      <c r="AJ18" s="990"/>
      <c r="AK18" s="992"/>
      <c r="AL18" s="991"/>
      <c r="AM18" s="990"/>
      <c r="AN18" s="990"/>
      <c r="AO18" s="990"/>
      <c r="AP18" s="990"/>
      <c r="AQ18" s="992"/>
    </row>
    <row r="19" spans="2:43" ht="20.25" customHeight="1">
      <c r="B19" s="1007" t="s">
        <v>1541</v>
      </c>
      <c r="C19" s="1007" t="str">
        <f>IF(一般事項!F35="","",一般事項!F35)</f>
        <v/>
      </c>
      <c r="D19" s="1008"/>
      <c r="E19" s="124"/>
      <c r="J19" s="982">
        <v>1</v>
      </c>
      <c r="K19" s="983" t="s">
        <v>1148</v>
      </c>
      <c r="L19" s="984">
        <v>2000</v>
      </c>
      <c r="M19" s="985">
        <v>100000</v>
      </c>
      <c r="N19" s="994">
        <v>26.8</v>
      </c>
      <c r="O19" s="995">
        <v>-7.4800000000000005E-2</v>
      </c>
      <c r="P19" s="988"/>
      <c r="Q19" s="988"/>
      <c r="R19" s="989"/>
      <c r="S19" s="990">
        <v>0.95</v>
      </c>
      <c r="T19" s="990">
        <v>0.95</v>
      </c>
      <c r="U19" s="990">
        <v>0.95</v>
      </c>
      <c r="V19" s="990">
        <v>0.9</v>
      </c>
      <c r="W19" s="990">
        <v>0.9</v>
      </c>
      <c r="X19" s="990">
        <v>0.9</v>
      </c>
      <c r="Y19" s="990">
        <v>0.85</v>
      </c>
      <c r="Z19" s="990"/>
      <c r="AA19" s="990"/>
      <c r="AB19" s="991">
        <v>0.02</v>
      </c>
      <c r="AC19" s="990">
        <v>0.01</v>
      </c>
      <c r="AD19" s="990">
        <v>1.4999999999999999E-2</v>
      </c>
      <c r="AE19" s="990">
        <v>0</v>
      </c>
      <c r="AF19" s="991"/>
      <c r="AG19" s="990"/>
      <c r="AH19" s="990"/>
      <c r="AI19" s="990"/>
      <c r="AJ19" s="990"/>
      <c r="AK19" s="992"/>
      <c r="AL19" s="991"/>
      <c r="AM19" s="990"/>
      <c r="AN19" s="990"/>
      <c r="AO19" s="990"/>
      <c r="AP19" s="990"/>
      <c r="AQ19" s="992"/>
    </row>
    <row r="20" spans="2:43" ht="20.25" customHeight="1">
      <c r="B20" s="1007" t="s">
        <v>1542</v>
      </c>
      <c r="C20" s="1009" t="s">
        <v>1543</v>
      </c>
      <c r="D20" s="1010">
        <v>1</v>
      </c>
      <c r="E20" s="124"/>
      <c r="F20" s="1011"/>
      <c r="G20" s="41"/>
      <c r="J20" s="982">
        <v>1</v>
      </c>
      <c r="K20" s="983" t="s">
        <v>1544</v>
      </c>
      <c r="L20" s="984">
        <v>10000</v>
      </c>
      <c r="M20" s="985">
        <v>2000000</v>
      </c>
      <c r="N20" s="994">
        <v>68.3</v>
      </c>
      <c r="O20" s="995">
        <v>-0.12670000000000001</v>
      </c>
      <c r="P20" s="988"/>
      <c r="Q20" s="988"/>
      <c r="R20" s="989"/>
      <c r="S20" s="990">
        <v>0.95</v>
      </c>
      <c r="T20" s="990">
        <v>0.95</v>
      </c>
      <c r="U20" s="990">
        <v>0.95</v>
      </c>
      <c r="V20" s="990">
        <v>0.9</v>
      </c>
      <c r="W20" s="990">
        <v>0.9</v>
      </c>
      <c r="X20" s="990">
        <v>0.9</v>
      </c>
      <c r="Y20" s="990">
        <v>0.85</v>
      </c>
      <c r="Z20" s="990"/>
      <c r="AA20" s="990"/>
      <c r="AB20" s="991">
        <v>0.02</v>
      </c>
      <c r="AC20" s="990">
        <v>0.01</v>
      </c>
      <c r="AD20" s="990">
        <v>1.4999999999999999E-2</v>
      </c>
      <c r="AE20" s="990">
        <v>0</v>
      </c>
      <c r="AF20" s="991"/>
      <c r="AG20" s="990"/>
      <c r="AH20" s="990"/>
      <c r="AI20" s="990"/>
      <c r="AJ20" s="990"/>
      <c r="AK20" s="992"/>
      <c r="AL20" s="991"/>
      <c r="AM20" s="990"/>
      <c r="AN20" s="990"/>
      <c r="AO20" s="990"/>
      <c r="AP20" s="990"/>
      <c r="AQ20" s="992"/>
    </row>
    <row r="21" spans="2:43" ht="20.25" customHeight="1">
      <c r="B21" s="1007" t="s">
        <v>1516</v>
      </c>
      <c r="C21" s="1012" t="s">
        <v>1543</v>
      </c>
      <c r="D21" s="1013">
        <v>1</v>
      </c>
      <c r="E21" s="124"/>
      <c r="F21" s="1014"/>
      <c r="G21" s="41"/>
      <c r="J21" s="982">
        <v>1</v>
      </c>
      <c r="K21" s="983" t="s">
        <v>1545</v>
      </c>
      <c r="L21" s="984">
        <v>10000</v>
      </c>
      <c r="M21" s="985">
        <v>2000000</v>
      </c>
      <c r="N21" s="994">
        <v>92.5</v>
      </c>
      <c r="O21" s="995">
        <v>-0.1181</v>
      </c>
      <c r="P21" s="988"/>
      <c r="Q21" s="988"/>
      <c r="R21" s="989"/>
      <c r="S21" s="990">
        <v>0.95</v>
      </c>
      <c r="T21" s="990">
        <v>0.95</v>
      </c>
      <c r="U21" s="990">
        <v>0.95</v>
      </c>
      <c r="V21" s="990">
        <v>0.9</v>
      </c>
      <c r="W21" s="990">
        <v>0.9</v>
      </c>
      <c r="X21" s="990">
        <v>0.9</v>
      </c>
      <c r="Y21" s="990">
        <v>0.85</v>
      </c>
      <c r="Z21" s="990"/>
      <c r="AA21" s="990"/>
      <c r="AB21" s="991">
        <v>0.02</v>
      </c>
      <c r="AC21" s="990">
        <v>0.01</v>
      </c>
      <c r="AD21" s="990">
        <v>1.4999999999999999E-2</v>
      </c>
      <c r="AE21" s="990">
        <v>0</v>
      </c>
      <c r="AF21" s="991"/>
      <c r="AG21" s="990"/>
      <c r="AH21" s="990"/>
      <c r="AI21" s="990"/>
      <c r="AJ21" s="990"/>
      <c r="AK21" s="992"/>
      <c r="AL21" s="991"/>
      <c r="AM21" s="990"/>
      <c r="AN21" s="990"/>
      <c r="AO21" s="990"/>
      <c r="AP21" s="990"/>
      <c r="AQ21" s="992"/>
    </row>
    <row r="22" spans="2:43" ht="20.25" customHeight="1">
      <c r="B22" s="1007" t="s">
        <v>1517</v>
      </c>
      <c r="C22" s="1012" t="s">
        <v>1546</v>
      </c>
      <c r="D22" s="1013">
        <v>1</v>
      </c>
      <c r="E22" s="124"/>
      <c r="F22" s="883"/>
      <c r="G22" s="41"/>
      <c r="J22" s="982">
        <v>1</v>
      </c>
      <c r="K22" s="983" t="s">
        <v>1152</v>
      </c>
      <c r="L22" s="984">
        <v>10000</v>
      </c>
      <c r="M22" s="985">
        <v>2000000</v>
      </c>
      <c r="N22" s="994">
        <v>4164.8999999999996</v>
      </c>
      <c r="O22" s="995">
        <v>-0.30880000000000002</v>
      </c>
      <c r="P22" s="988"/>
      <c r="Q22" s="988"/>
      <c r="R22" s="989"/>
      <c r="S22" s="990">
        <v>0.95</v>
      </c>
      <c r="T22" s="990">
        <v>0.95</v>
      </c>
      <c r="U22" s="990">
        <v>0.95</v>
      </c>
      <c r="V22" s="990">
        <v>0.9</v>
      </c>
      <c r="W22" s="990">
        <v>0.9</v>
      </c>
      <c r="X22" s="990">
        <v>0.9</v>
      </c>
      <c r="Y22" s="990">
        <v>0.85</v>
      </c>
      <c r="Z22" s="990"/>
      <c r="AA22" s="990"/>
      <c r="AB22" s="991">
        <v>0.02</v>
      </c>
      <c r="AC22" s="990">
        <v>0.01</v>
      </c>
      <c r="AD22" s="990">
        <v>1.4999999999999999E-2</v>
      </c>
      <c r="AE22" s="990">
        <v>0</v>
      </c>
      <c r="AF22" s="991"/>
      <c r="AG22" s="990"/>
      <c r="AH22" s="990"/>
      <c r="AI22" s="990"/>
      <c r="AJ22" s="990"/>
      <c r="AK22" s="992"/>
      <c r="AL22" s="991"/>
      <c r="AM22" s="990"/>
      <c r="AN22" s="990"/>
      <c r="AO22" s="990"/>
      <c r="AP22" s="990"/>
      <c r="AQ22" s="992"/>
    </row>
    <row r="23" spans="2:43" ht="20.25" customHeight="1">
      <c r="B23" s="1007" t="s">
        <v>1547</v>
      </c>
      <c r="C23" s="1015" t="str">
        <f>IF(一般事項!F36="","",一般事項!F36)</f>
        <v/>
      </c>
      <c r="D23" s="1016">
        <f>IF(C23="1：補正有り(×1.5)",1.5,1)</f>
        <v>1</v>
      </c>
      <c r="E23" s="1219">
        <f>IF(D23&gt;1,D23,IF(D24&gt;1,D24,1))</f>
        <v>1</v>
      </c>
      <c r="F23" s="883"/>
      <c r="G23" s="41"/>
      <c r="J23" s="982">
        <v>1</v>
      </c>
      <c r="K23" s="983" t="s">
        <v>1151</v>
      </c>
      <c r="L23" s="984">
        <v>10000</v>
      </c>
      <c r="M23" s="985">
        <v>2000000</v>
      </c>
      <c r="N23" s="994">
        <v>422.4</v>
      </c>
      <c r="O23" s="995">
        <v>-0.2167</v>
      </c>
      <c r="P23" s="988"/>
      <c r="Q23" s="988"/>
      <c r="R23" s="989"/>
      <c r="S23" s="990">
        <v>0.95</v>
      </c>
      <c r="T23" s="990">
        <v>0.95</v>
      </c>
      <c r="U23" s="990">
        <v>0.95</v>
      </c>
      <c r="V23" s="990">
        <v>0.9</v>
      </c>
      <c r="W23" s="990">
        <v>0.9</v>
      </c>
      <c r="X23" s="990">
        <v>0.9</v>
      </c>
      <c r="Y23" s="990">
        <v>0.85</v>
      </c>
      <c r="Z23" s="990"/>
      <c r="AA23" s="990"/>
      <c r="AB23" s="991">
        <v>0.02</v>
      </c>
      <c r="AC23" s="990">
        <v>0.01</v>
      </c>
      <c r="AD23" s="990">
        <v>1.4999999999999999E-2</v>
      </c>
      <c r="AE23" s="990">
        <v>0</v>
      </c>
      <c r="AF23" s="991"/>
      <c r="AG23" s="990"/>
      <c r="AH23" s="990"/>
      <c r="AI23" s="990"/>
      <c r="AJ23" s="990"/>
      <c r="AK23" s="992"/>
      <c r="AL23" s="991"/>
      <c r="AM23" s="990"/>
      <c r="AN23" s="990"/>
      <c r="AO23" s="990"/>
      <c r="AP23" s="990"/>
      <c r="AQ23" s="992"/>
    </row>
    <row r="24" spans="2:43" ht="20.25" customHeight="1">
      <c r="B24" s="1007" t="s">
        <v>1787</v>
      </c>
      <c r="C24" s="1015" t="str">
        <f>IF(一般事項!$F$37="","",一般事項!$F$37)</f>
        <v/>
      </c>
      <c r="D24" s="1016">
        <f>IF(C$24="1：補正有り(×1.1)",1.1,IF(C$24="2：補正有り(×1.4)",1.4,1))</f>
        <v>1</v>
      </c>
      <c r="E24" s="124"/>
      <c r="F24" s="883"/>
      <c r="G24" s="41"/>
      <c r="J24" s="982">
        <v>1</v>
      </c>
      <c r="K24" s="983" t="s">
        <v>1548</v>
      </c>
      <c r="L24" s="984">
        <v>10000</v>
      </c>
      <c r="M24" s="985">
        <v>2000000</v>
      </c>
      <c r="N24" s="994">
        <v>485.4</v>
      </c>
      <c r="O24" s="995">
        <v>-0.22309999999999999</v>
      </c>
      <c r="P24" s="988"/>
      <c r="Q24" s="988"/>
      <c r="R24" s="989"/>
      <c r="S24" s="990">
        <v>0.95</v>
      </c>
      <c r="T24" s="990">
        <v>0.95</v>
      </c>
      <c r="U24" s="990">
        <v>0.95</v>
      </c>
      <c r="V24" s="990">
        <v>0.9</v>
      </c>
      <c r="W24" s="990">
        <v>0.9</v>
      </c>
      <c r="X24" s="990">
        <v>0.9</v>
      </c>
      <c r="Y24" s="990">
        <v>0.85</v>
      </c>
      <c r="Z24" s="990"/>
      <c r="AA24" s="990"/>
      <c r="AB24" s="991">
        <v>0.02</v>
      </c>
      <c r="AC24" s="990">
        <v>0.01</v>
      </c>
      <c r="AD24" s="990">
        <v>1.4999999999999999E-2</v>
      </c>
      <c r="AE24" s="990">
        <v>0</v>
      </c>
      <c r="AF24" s="991"/>
      <c r="AG24" s="990"/>
      <c r="AH24" s="990"/>
      <c r="AI24" s="990"/>
      <c r="AJ24" s="990"/>
      <c r="AK24" s="992"/>
      <c r="AL24" s="991"/>
      <c r="AM24" s="990"/>
      <c r="AN24" s="990"/>
      <c r="AO24" s="990"/>
      <c r="AP24" s="990"/>
      <c r="AQ24" s="992"/>
    </row>
    <row r="25" spans="2:43" ht="20.25" customHeight="1">
      <c r="B25" s="1007" t="s">
        <v>1790</v>
      </c>
      <c r="C25" s="1008"/>
      <c r="D25" s="1007" t="e">
        <f>IF(C20="有り",0,INDEX(AL5:AQ90,MATCH(C18,K5:K90,0),MATCH(C19,AL4:AQ4,0)))</f>
        <v>#N/A</v>
      </c>
      <c r="E25" s="124"/>
      <c r="F25" s="883"/>
      <c r="G25" s="41"/>
      <c r="J25" s="982">
        <v>1</v>
      </c>
      <c r="K25" s="983" t="s">
        <v>1550</v>
      </c>
      <c r="L25" s="984">
        <v>10000</v>
      </c>
      <c r="M25" s="985">
        <v>2000000</v>
      </c>
      <c r="N25" s="994">
        <v>485.4</v>
      </c>
      <c r="O25" s="995">
        <v>-0.22309999999999999</v>
      </c>
      <c r="P25" s="988"/>
      <c r="Q25" s="988"/>
      <c r="R25" s="989"/>
      <c r="S25" s="990">
        <v>0.95</v>
      </c>
      <c r="T25" s="990">
        <v>0.95</v>
      </c>
      <c r="U25" s="990">
        <v>0.95</v>
      </c>
      <c r="V25" s="990">
        <v>0.9</v>
      </c>
      <c r="W25" s="990">
        <v>0.9</v>
      </c>
      <c r="X25" s="990">
        <v>0.9</v>
      </c>
      <c r="Y25" s="990">
        <v>0.85</v>
      </c>
      <c r="Z25" s="990"/>
      <c r="AA25" s="990"/>
      <c r="AB25" s="991">
        <v>0.02</v>
      </c>
      <c r="AC25" s="990">
        <v>0.01</v>
      </c>
      <c r="AD25" s="990">
        <v>1.4999999999999999E-2</v>
      </c>
      <c r="AE25" s="990">
        <v>0</v>
      </c>
      <c r="AF25" s="991"/>
      <c r="AG25" s="990"/>
      <c r="AH25" s="990"/>
      <c r="AI25" s="990"/>
      <c r="AJ25" s="990"/>
      <c r="AK25" s="992"/>
      <c r="AL25" s="991"/>
      <c r="AM25" s="990"/>
      <c r="AN25" s="990"/>
      <c r="AO25" s="990"/>
      <c r="AP25" s="990"/>
      <c r="AQ25" s="992"/>
    </row>
    <row r="26" spans="2:43" ht="20.25" customHeight="1">
      <c r="B26" s="1007" t="s">
        <v>1549</v>
      </c>
      <c r="C26" s="1008"/>
      <c r="D26" s="1017">
        <f>IF(C17="2：国土交通省(港湾)",IF(C20="有り",0,INDEX(AF5:AJ90,MATCH(C18,K5:K90,0),MATCH(C19,AF4:AJ4,0))),0)</f>
        <v>0</v>
      </c>
      <c r="E26" s="124"/>
      <c r="F26" s="883"/>
      <c r="G26" s="41"/>
      <c r="J26" s="982">
        <v>1</v>
      </c>
      <c r="K26" s="983" t="s">
        <v>1551</v>
      </c>
      <c r="L26" s="984">
        <v>10000</v>
      </c>
      <c r="M26" s="985">
        <v>2000000</v>
      </c>
      <c r="N26" s="994">
        <v>485.4</v>
      </c>
      <c r="O26" s="995">
        <v>-0.22309999999999999</v>
      </c>
      <c r="P26" s="988"/>
      <c r="Q26" s="988"/>
      <c r="R26" s="989"/>
      <c r="S26" s="990">
        <v>0.95</v>
      </c>
      <c r="T26" s="990">
        <v>0.95</v>
      </c>
      <c r="U26" s="990">
        <v>0.95</v>
      </c>
      <c r="V26" s="990">
        <v>0.9</v>
      </c>
      <c r="W26" s="990">
        <v>0.9</v>
      </c>
      <c r="X26" s="990">
        <v>0.9</v>
      </c>
      <c r="Y26" s="990">
        <v>0.85</v>
      </c>
      <c r="Z26" s="990"/>
      <c r="AA26" s="990"/>
      <c r="AB26" s="991">
        <v>0.02</v>
      </c>
      <c r="AC26" s="990">
        <v>0.01</v>
      </c>
      <c r="AD26" s="990">
        <v>1.4999999999999999E-2</v>
      </c>
      <c r="AE26" s="990">
        <v>0</v>
      </c>
      <c r="AF26" s="991"/>
      <c r="AG26" s="990"/>
      <c r="AH26" s="990"/>
      <c r="AI26" s="990"/>
      <c r="AJ26" s="990"/>
      <c r="AK26" s="992"/>
      <c r="AL26" s="991"/>
      <c r="AM26" s="990"/>
      <c r="AN26" s="990"/>
      <c r="AO26" s="990"/>
      <c r="AP26" s="990"/>
      <c r="AQ26" s="992"/>
    </row>
    <row r="27" spans="2:43" ht="20.25" customHeight="1">
      <c r="B27" s="1018" t="s">
        <v>1124</v>
      </c>
      <c r="C27" s="1018" t="str">
        <f>IF(C17&lt;&gt;"2：国土交通省(港湾)","",一般事項!F35)</f>
        <v/>
      </c>
      <c r="D27" s="1019">
        <f>IF(AND(OR(C17="2：国土交通省(港湾)",C17="4：農林水産省"),C27="1：補正有り"),VLOOKUP(C18,K5:AK90,27,FALSE),0)</f>
        <v>0</v>
      </c>
      <c r="E27" s="124"/>
      <c r="F27" s="883"/>
      <c r="G27" s="41"/>
      <c r="J27" s="982">
        <v>1</v>
      </c>
      <c r="K27" s="983" t="s">
        <v>1552</v>
      </c>
      <c r="L27" s="984">
        <v>10000</v>
      </c>
      <c r="M27" s="985">
        <v>2000000</v>
      </c>
      <c r="N27" s="994">
        <v>485.4</v>
      </c>
      <c r="O27" s="995">
        <v>-0.22309999999999999</v>
      </c>
      <c r="P27" s="988"/>
      <c r="Q27" s="988"/>
      <c r="R27" s="989"/>
      <c r="S27" s="990">
        <v>0.95</v>
      </c>
      <c r="T27" s="990">
        <v>0.95</v>
      </c>
      <c r="U27" s="990">
        <v>0.95</v>
      </c>
      <c r="V27" s="990">
        <v>0.9</v>
      </c>
      <c r="W27" s="990">
        <v>0.9</v>
      </c>
      <c r="X27" s="990">
        <v>0.9</v>
      </c>
      <c r="Y27" s="990">
        <v>0.85</v>
      </c>
      <c r="Z27" s="990"/>
      <c r="AA27" s="990"/>
      <c r="AB27" s="991">
        <v>0.02</v>
      </c>
      <c r="AC27" s="990">
        <v>0.01</v>
      </c>
      <c r="AD27" s="990">
        <v>1.4999999999999999E-2</v>
      </c>
      <c r="AE27" s="990">
        <v>0</v>
      </c>
      <c r="AF27" s="991"/>
      <c r="AG27" s="990"/>
      <c r="AH27" s="990"/>
      <c r="AI27" s="990"/>
      <c r="AJ27" s="990"/>
      <c r="AK27" s="992"/>
      <c r="AL27" s="991"/>
      <c r="AM27" s="990"/>
      <c r="AN27" s="990"/>
      <c r="AO27" s="990"/>
      <c r="AP27" s="990"/>
      <c r="AQ27" s="992"/>
    </row>
    <row r="28" spans="2:43" ht="20.25" customHeight="1">
      <c r="B28" s="7"/>
      <c r="C28" s="7"/>
      <c r="D28" s="1020"/>
      <c r="E28" s="596"/>
      <c r="F28" s="596"/>
      <c r="G28" s="41"/>
      <c r="J28" s="982">
        <v>1</v>
      </c>
      <c r="K28" s="983" t="s">
        <v>1150</v>
      </c>
      <c r="L28" s="984">
        <v>10000</v>
      </c>
      <c r="M28" s="985">
        <v>2000000</v>
      </c>
      <c r="N28" s="994">
        <v>13.5</v>
      </c>
      <c r="O28" s="995">
        <v>-3.5299999999999998E-2</v>
      </c>
      <c r="P28" s="988"/>
      <c r="Q28" s="988"/>
      <c r="R28" s="989"/>
      <c r="S28" s="990">
        <v>0.95</v>
      </c>
      <c r="T28" s="990">
        <v>0.95</v>
      </c>
      <c r="U28" s="990">
        <v>0.95</v>
      </c>
      <c r="V28" s="990">
        <v>0.9</v>
      </c>
      <c r="W28" s="990">
        <v>0.9</v>
      </c>
      <c r="X28" s="990">
        <v>0.9</v>
      </c>
      <c r="Y28" s="990">
        <v>0.85</v>
      </c>
      <c r="Z28" s="990"/>
      <c r="AA28" s="990"/>
      <c r="AB28" s="991">
        <v>0.02</v>
      </c>
      <c r="AC28" s="990">
        <v>0.01</v>
      </c>
      <c r="AD28" s="990">
        <v>1.4999999999999999E-2</v>
      </c>
      <c r="AE28" s="990">
        <v>0</v>
      </c>
      <c r="AF28" s="991"/>
      <c r="AG28" s="990"/>
      <c r="AH28" s="990"/>
      <c r="AI28" s="990"/>
      <c r="AJ28" s="990"/>
      <c r="AK28" s="992"/>
      <c r="AL28" s="991"/>
      <c r="AM28" s="990"/>
      <c r="AN28" s="990"/>
      <c r="AO28" s="990"/>
      <c r="AP28" s="990"/>
      <c r="AQ28" s="992"/>
    </row>
    <row r="29" spans="2:43" ht="20.25" customHeight="1">
      <c r="B29" s="4" t="str">
        <f>"率式 ("&amp;C18&amp;")"</f>
        <v>率式 ()</v>
      </c>
      <c r="G29" s="41"/>
      <c r="J29" s="982">
        <v>1</v>
      </c>
      <c r="K29" s="983" t="s">
        <v>1558</v>
      </c>
      <c r="L29" s="984">
        <v>6000</v>
      </c>
      <c r="M29" s="985">
        <v>100000</v>
      </c>
      <c r="N29" s="994">
        <v>485.4</v>
      </c>
      <c r="O29" s="995">
        <v>-0.22309999999999999</v>
      </c>
      <c r="P29" s="988"/>
      <c r="Q29" s="988"/>
      <c r="R29" s="989"/>
      <c r="S29" s="990">
        <v>0.95</v>
      </c>
      <c r="T29" s="990">
        <v>0.95</v>
      </c>
      <c r="U29" s="990">
        <v>0.95</v>
      </c>
      <c r="V29" s="990">
        <v>0.9</v>
      </c>
      <c r="W29" s="990">
        <v>0.9</v>
      </c>
      <c r="X29" s="990">
        <v>0.9</v>
      </c>
      <c r="Y29" s="990">
        <v>0.85</v>
      </c>
      <c r="Z29" s="990"/>
      <c r="AA29" s="990"/>
      <c r="AB29" s="991">
        <v>0.02</v>
      </c>
      <c r="AC29" s="990">
        <v>0.01</v>
      </c>
      <c r="AD29" s="990">
        <v>1.4999999999999999E-2</v>
      </c>
      <c r="AE29" s="990">
        <v>0</v>
      </c>
      <c r="AF29" s="991"/>
      <c r="AG29" s="990"/>
      <c r="AH29" s="990"/>
      <c r="AI29" s="990"/>
      <c r="AJ29" s="990"/>
      <c r="AK29" s="992"/>
      <c r="AL29" s="991"/>
      <c r="AM29" s="990"/>
      <c r="AN29" s="990"/>
      <c r="AO29" s="990"/>
      <c r="AP29" s="990"/>
      <c r="AQ29" s="992"/>
    </row>
    <row r="30" spans="2:43" ht="20.25" customHeight="1">
      <c r="B30" s="1021" t="s">
        <v>1553</v>
      </c>
      <c r="C30" s="1021" t="s">
        <v>1554</v>
      </c>
      <c r="D30" s="1022" t="s">
        <v>1555</v>
      </c>
      <c r="E30" s="1021" t="s">
        <v>1556</v>
      </c>
      <c r="F30" s="1022" t="s">
        <v>1557</v>
      </c>
      <c r="G30" s="1021" t="s">
        <v>1511</v>
      </c>
      <c r="H30" s="1021" t="s">
        <v>1512</v>
      </c>
      <c r="J30" s="982">
        <v>1</v>
      </c>
      <c r="K30" s="983" t="s">
        <v>1559</v>
      </c>
      <c r="L30" s="984">
        <v>6000</v>
      </c>
      <c r="M30" s="985">
        <v>100000</v>
      </c>
      <c r="N30" s="994">
        <v>485.4</v>
      </c>
      <c r="O30" s="995">
        <v>-0.22309999999999999</v>
      </c>
      <c r="P30" s="988"/>
      <c r="Q30" s="988"/>
      <c r="R30" s="989"/>
      <c r="S30" s="990">
        <v>0.95</v>
      </c>
      <c r="T30" s="990">
        <v>0.95</v>
      </c>
      <c r="U30" s="990">
        <v>0.95</v>
      </c>
      <c r="V30" s="990">
        <v>0.9</v>
      </c>
      <c r="W30" s="990">
        <v>0.9</v>
      </c>
      <c r="X30" s="990">
        <v>0.9</v>
      </c>
      <c r="Y30" s="990">
        <v>0.85</v>
      </c>
      <c r="Z30" s="990"/>
      <c r="AA30" s="990"/>
      <c r="AB30" s="991">
        <v>0.02</v>
      </c>
      <c r="AC30" s="990">
        <v>0.01</v>
      </c>
      <c r="AD30" s="990">
        <v>1.4999999999999999E-2</v>
      </c>
      <c r="AE30" s="990">
        <v>0</v>
      </c>
      <c r="AF30" s="991"/>
      <c r="AG30" s="990"/>
      <c r="AH30" s="990"/>
      <c r="AI30" s="990"/>
      <c r="AJ30" s="990"/>
      <c r="AK30" s="992"/>
      <c r="AL30" s="991"/>
      <c r="AM30" s="990"/>
      <c r="AN30" s="990"/>
      <c r="AO30" s="990"/>
      <c r="AP30" s="990"/>
      <c r="AQ30" s="992"/>
    </row>
    <row r="31" spans="2:43" ht="20.25" customHeight="1">
      <c r="B31" s="1023">
        <f>工事費!J65</f>
        <v>0</v>
      </c>
      <c r="C31" s="1023" t="e">
        <f>VLOOKUP($C$18,$K$5:$O$90,2,FALSE)</f>
        <v>#N/A</v>
      </c>
      <c r="D31" s="1023" t="e">
        <f>VLOOKUP($C$18,$K$5:$O$90,3,FALSE)</f>
        <v>#N/A</v>
      </c>
      <c r="E31" s="1024" t="e">
        <f>ROUND(G31*(C31*1000)^H31,2)/100</f>
        <v>#N/A</v>
      </c>
      <c r="F31" s="1024" t="e">
        <f>ROUND(G31*(D31*1000)^H31,2)/100</f>
        <v>#N/A</v>
      </c>
      <c r="G31" s="1021" t="e">
        <f>VLOOKUP($C$18,$K$5:$O$90,4,FALSE)</f>
        <v>#N/A</v>
      </c>
      <c r="H31" s="1021" t="e">
        <f>VLOOKUP($C$18,$K$5:$O$90,5,FALSE)</f>
        <v>#N/A</v>
      </c>
      <c r="J31" s="982">
        <v>1</v>
      </c>
      <c r="K31" s="983" t="s">
        <v>1560</v>
      </c>
      <c r="L31" s="984">
        <v>6000</v>
      </c>
      <c r="M31" s="985">
        <v>100000</v>
      </c>
      <c r="N31" s="994">
        <v>485.4</v>
      </c>
      <c r="O31" s="995">
        <v>-0.22309999999999999</v>
      </c>
      <c r="P31" s="988"/>
      <c r="Q31" s="988"/>
      <c r="R31" s="989"/>
      <c r="S31" s="990">
        <v>0.95</v>
      </c>
      <c r="T31" s="990">
        <v>0.95</v>
      </c>
      <c r="U31" s="990">
        <v>0.95</v>
      </c>
      <c r="V31" s="990">
        <v>0.9</v>
      </c>
      <c r="W31" s="990">
        <v>0.9</v>
      </c>
      <c r="X31" s="990">
        <v>0.9</v>
      </c>
      <c r="Y31" s="990">
        <v>0.85</v>
      </c>
      <c r="Z31" s="990"/>
      <c r="AA31" s="990"/>
      <c r="AB31" s="991">
        <v>0.02</v>
      </c>
      <c r="AC31" s="990">
        <v>0.01</v>
      </c>
      <c r="AD31" s="990">
        <v>1.4999999999999999E-2</v>
      </c>
      <c r="AE31" s="990">
        <v>0</v>
      </c>
      <c r="AF31" s="991"/>
      <c r="AG31" s="990"/>
      <c r="AH31" s="990"/>
      <c r="AI31" s="990"/>
      <c r="AJ31" s="990"/>
      <c r="AK31" s="992"/>
      <c r="AL31" s="991"/>
      <c r="AM31" s="990"/>
      <c r="AN31" s="990"/>
      <c r="AO31" s="990"/>
      <c r="AP31" s="990"/>
      <c r="AQ31" s="992"/>
    </row>
    <row r="32" spans="2:43" ht="20.25" customHeight="1">
      <c r="G32" s="41"/>
      <c r="J32" s="982">
        <v>1</v>
      </c>
      <c r="K32" s="983" t="s">
        <v>1562</v>
      </c>
      <c r="L32" s="984">
        <v>6000</v>
      </c>
      <c r="M32" s="985">
        <v>100000</v>
      </c>
      <c r="N32" s="994">
        <v>485.4</v>
      </c>
      <c r="O32" s="995">
        <v>-0.22309999999999999</v>
      </c>
      <c r="P32" s="988"/>
      <c r="Q32" s="988"/>
      <c r="R32" s="989"/>
      <c r="S32" s="990">
        <v>0.95</v>
      </c>
      <c r="T32" s="990">
        <v>0.95</v>
      </c>
      <c r="U32" s="990">
        <v>0.95</v>
      </c>
      <c r="V32" s="990">
        <v>0.9</v>
      </c>
      <c r="W32" s="990">
        <v>0.9</v>
      </c>
      <c r="X32" s="990">
        <v>0.9</v>
      </c>
      <c r="Y32" s="990">
        <v>0.85</v>
      </c>
      <c r="Z32" s="990"/>
      <c r="AA32" s="990"/>
      <c r="AB32" s="991">
        <v>0.02</v>
      </c>
      <c r="AC32" s="990">
        <v>0.01</v>
      </c>
      <c r="AD32" s="990">
        <v>1.4999999999999999E-2</v>
      </c>
      <c r="AE32" s="990">
        <v>0</v>
      </c>
      <c r="AF32" s="991"/>
      <c r="AG32" s="990"/>
      <c r="AH32" s="990"/>
      <c r="AI32" s="990"/>
      <c r="AJ32" s="990"/>
      <c r="AK32" s="992"/>
      <c r="AL32" s="991"/>
      <c r="AM32" s="990"/>
      <c r="AN32" s="990"/>
      <c r="AO32" s="990"/>
      <c r="AP32" s="990"/>
      <c r="AQ32" s="992"/>
    </row>
    <row r="33" spans="2:43" ht="20.25" customHeight="1">
      <c r="B33" s="4" t="s">
        <v>1561</v>
      </c>
      <c r="G33" s="41"/>
      <c r="J33" s="982">
        <v>1</v>
      </c>
      <c r="K33" s="983" t="s">
        <v>1564</v>
      </c>
      <c r="L33" s="984">
        <v>6000</v>
      </c>
      <c r="M33" s="985">
        <v>100000</v>
      </c>
      <c r="N33" s="994">
        <v>485.4</v>
      </c>
      <c r="O33" s="995">
        <v>-0.22309999999999999</v>
      </c>
      <c r="P33" s="988"/>
      <c r="Q33" s="988"/>
      <c r="R33" s="989"/>
      <c r="S33" s="990">
        <v>0.95</v>
      </c>
      <c r="T33" s="990">
        <v>0.95</v>
      </c>
      <c r="U33" s="990">
        <v>0.95</v>
      </c>
      <c r="V33" s="990">
        <v>0.9</v>
      </c>
      <c r="W33" s="990">
        <v>0.9</v>
      </c>
      <c r="X33" s="990">
        <v>0.9</v>
      </c>
      <c r="Y33" s="990">
        <v>0.85</v>
      </c>
      <c r="Z33" s="990"/>
      <c r="AA33" s="990"/>
      <c r="AB33" s="991">
        <v>0.02</v>
      </c>
      <c r="AC33" s="990">
        <v>0.01</v>
      </c>
      <c r="AD33" s="990">
        <v>1.4999999999999999E-2</v>
      </c>
      <c r="AE33" s="990">
        <v>0</v>
      </c>
      <c r="AF33" s="991"/>
      <c r="AG33" s="990"/>
      <c r="AH33" s="990"/>
      <c r="AI33" s="990"/>
      <c r="AJ33" s="990"/>
      <c r="AK33" s="992"/>
      <c r="AL33" s="991"/>
      <c r="AM33" s="990"/>
      <c r="AN33" s="990"/>
      <c r="AO33" s="990"/>
      <c r="AP33" s="990"/>
      <c r="AQ33" s="992"/>
    </row>
    <row r="34" spans="2:43" ht="20.25" customHeight="1">
      <c r="B34" s="1021" t="s">
        <v>1563</v>
      </c>
      <c r="C34" s="1024" t="e">
        <f>(IF(E31&lt;ROUND(G31*(B31*1000)^H31,2)/100,E31,IF(F31&gt;ROUND(G31*(B31*1000)^H31,2)/100,F31,ROUND(G31*(B31*1000)^H31,2)/100)))</f>
        <v>#N/A</v>
      </c>
      <c r="D34" s="1025"/>
      <c r="E34" s="1026"/>
      <c r="G34" s="41"/>
      <c r="J34" s="982">
        <v>1</v>
      </c>
      <c r="K34" s="983" t="s">
        <v>1566</v>
      </c>
      <c r="L34" s="984">
        <v>300000</v>
      </c>
      <c r="M34" s="985">
        <v>5000000</v>
      </c>
      <c r="N34" s="994">
        <v>105.2</v>
      </c>
      <c r="O34" s="995">
        <v>-0.11</v>
      </c>
      <c r="P34" s="988"/>
      <c r="Q34" s="988"/>
      <c r="R34" s="989"/>
      <c r="S34" s="990">
        <v>0.95</v>
      </c>
      <c r="T34" s="990">
        <v>0.95</v>
      </c>
      <c r="U34" s="990">
        <v>0.95</v>
      </c>
      <c r="V34" s="990">
        <v>0.9</v>
      </c>
      <c r="W34" s="990">
        <v>0.9</v>
      </c>
      <c r="X34" s="990">
        <v>0.9</v>
      </c>
      <c r="Y34" s="990">
        <v>0.85</v>
      </c>
      <c r="Z34" s="990"/>
      <c r="AA34" s="990"/>
      <c r="AB34" s="991"/>
      <c r="AC34" s="990"/>
      <c r="AD34" s="990"/>
      <c r="AE34" s="990"/>
      <c r="AF34" s="991"/>
      <c r="AG34" s="990"/>
      <c r="AH34" s="990"/>
      <c r="AI34" s="990"/>
      <c r="AJ34" s="990"/>
      <c r="AK34" s="992"/>
      <c r="AL34" s="991"/>
      <c r="AM34" s="990"/>
      <c r="AN34" s="990"/>
      <c r="AO34" s="990"/>
      <c r="AP34" s="990"/>
      <c r="AQ34" s="992"/>
    </row>
    <row r="35" spans="2:43" ht="20.25" customHeight="1">
      <c r="B35" s="1021" t="s">
        <v>1565</v>
      </c>
      <c r="C35" s="1024" t="e">
        <f>ROUND(((D21*C34)+(C34*D20)-C34)*D23,4)</f>
        <v>#N/A</v>
      </c>
      <c r="D35" s="1027"/>
      <c r="E35" s="1026"/>
      <c r="G35" s="41"/>
      <c r="J35" s="982">
        <v>1</v>
      </c>
      <c r="K35" s="983" t="s">
        <v>1568</v>
      </c>
      <c r="L35" s="984">
        <v>300000</v>
      </c>
      <c r="M35" s="985">
        <v>5000000</v>
      </c>
      <c r="N35" s="994">
        <v>43.7</v>
      </c>
      <c r="O35" s="995">
        <v>-8.9800000000000005E-2</v>
      </c>
      <c r="P35" s="988"/>
      <c r="Q35" s="988"/>
      <c r="R35" s="989"/>
      <c r="S35" s="990">
        <v>0.95</v>
      </c>
      <c r="T35" s="990">
        <v>0.95</v>
      </c>
      <c r="U35" s="990">
        <v>0.95</v>
      </c>
      <c r="V35" s="990">
        <v>0.9</v>
      </c>
      <c r="W35" s="990">
        <v>0.9</v>
      </c>
      <c r="X35" s="990">
        <v>0.9</v>
      </c>
      <c r="Y35" s="990">
        <v>0.85</v>
      </c>
      <c r="Z35" s="990"/>
      <c r="AA35" s="990"/>
      <c r="AB35" s="991"/>
      <c r="AC35" s="990"/>
      <c r="AD35" s="990"/>
      <c r="AE35" s="990"/>
      <c r="AF35" s="991"/>
      <c r="AG35" s="990"/>
      <c r="AH35" s="990"/>
      <c r="AI35" s="990"/>
      <c r="AJ35" s="990"/>
      <c r="AK35" s="992"/>
      <c r="AL35" s="991"/>
      <c r="AM35" s="990"/>
      <c r="AN35" s="990"/>
      <c r="AO35" s="990"/>
      <c r="AP35" s="990"/>
      <c r="AQ35" s="992"/>
    </row>
    <row r="36" spans="2:43" ht="20.25" customHeight="1">
      <c r="B36" s="1021" t="s">
        <v>1567</v>
      </c>
      <c r="C36" s="1024" t="e">
        <f>IF(D25&gt;1,ROUND(((C34*D21)+D27)*D25*D23*D24,4),ROUND(((C34*D21)+D25+D27)*D23*D24,4))</f>
        <v>#N/A</v>
      </c>
      <c r="D36" s="1027"/>
      <c r="E36" s="1028"/>
      <c r="G36" s="41"/>
      <c r="J36" s="982">
        <v>1</v>
      </c>
      <c r="K36" s="983" t="s">
        <v>1569</v>
      </c>
      <c r="L36" s="984">
        <v>2000</v>
      </c>
      <c r="M36" s="985">
        <v>100000</v>
      </c>
      <c r="N36" s="986">
        <v>4118.1000000000004</v>
      </c>
      <c r="O36" s="987">
        <v>-0.3548</v>
      </c>
      <c r="P36" s="988">
        <v>2</v>
      </c>
      <c r="Q36" s="988">
        <v>1.5</v>
      </c>
      <c r="R36" s="989">
        <v>1.3</v>
      </c>
      <c r="S36" s="990">
        <v>0.95</v>
      </c>
      <c r="T36" s="990">
        <v>0.95</v>
      </c>
      <c r="U36" s="990">
        <v>0.95</v>
      </c>
      <c r="V36" s="990">
        <v>0.9</v>
      </c>
      <c r="W36" s="990">
        <v>0.9</v>
      </c>
      <c r="X36" s="990">
        <v>0.9</v>
      </c>
      <c r="Y36" s="990">
        <v>0.85</v>
      </c>
      <c r="Z36" s="990"/>
      <c r="AA36" s="990"/>
      <c r="AB36" s="991">
        <v>0.02</v>
      </c>
      <c r="AC36" s="990">
        <v>0.01</v>
      </c>
      <c r="AD36" s="990">
        <v>1.4999999999999999E-2</v>
      </c>
      <c r="AE36" s="990">
        <v>0</v>
      </c>
      <c r="AF36" s="991"/>
      <c r="AG36" s="990"/>
      <c r="AH36" s="990"/>
      <c r="AI36" s="990"/>
      <c r="AJ36" s="990"/>
      <c r="AK36" s="992"/>
      <c r="AL36" s="991"/>
      <c r="AM36" s="990"/>
      <c r="AN36" s="990"/>
      <c r="AO36" s="990"/>
      <c r="AP36" s="990"/>
      <c r="AQ36" s="992"/>
    </row>
    <row r="37" spans="2:43" ht="20.25" customHeight="1">
      <c r="B37" s="1029"/>
      <c r="J37" s="982">
        <v>1</v>
      </c>
      <c r="K37" s="983" t="s">
        <v>1571</v>
      </c>
      <c r="L37" s="984">
        <v>2000</v>
      </c>
      <c r="M37" s="985">
        <v>100000</v>
      </c>
      <c r="N37" s="994">
        <v>26.8</v>
      </c>
      <c r="O37" s="995">
        <v>-7.4800000000000005E-2</v>
      </c>
      <c r="P37" s="988"/>
      <c r="Q37" s="988"/>
      <c r="R37" s="989"/>
      <c r="S37" s="990">
        <v>0.95</v>
      </c>
      <c r="T37" s="990">
        <v>0.95</v>
      </c>
      <c r="U37" s="990">
        <v>0.95</v>
      </c>
      <c r="V37" s="990">
        <v>0.9</v>
      </c>
      <c r="W37" s="990">
        <v>0.9</v>
      </c>
      <c r="X37" s="990">
        <v>0.9</v>
      </c>
      <c r="Y37" s="990">
        <v>0.85</v>
      </c>
      <c r="Z37" s="990"/>
      <c r="AA37" s="990"/>
      <c r="AB37" s="991">
        <v>0.02</v>
      </c>
      <c r="AC37" s="990">
        <v>0.01</v>
      </c>
      <c r="AD37" s="990">
        <v>1.4999999999999999E-2</v>
      </c>
      <c r="AE37" s="990">
        <v>0</v>
      </c>
      <c r="AF37" s="991"/>
      <c r="AG37" s="990"/>
      <c r="AH37" s="990"/>
      <c r="AI37" s="990"/>
      <c r="AJ37" s="990"/>
      <c r="AK37" s="992"/>
      <c r="AL37" s="991"/>
      <c r="AM37" s="990"/>
      <c r="AN37" s="990"/>
      <c r="AO37" s="990"/>
      <c r="AP37" s="990"/>
      <c r="AQ37" s="992"/>
    </row>
    <row r="38" spans="2:43" ht="20.25" customHeight="1">
      <c r="B38" s="4" t="s">
        <v>1570</v>
      </c>
      <c r="J38" s="982">
        <v>1</v>
      </c>
      <c r="K38" s="983" t="s">
        <v>1574</v>
      </c>
      <c r="L38" s="984">
        <v>2000</v>
      </c>
      <c r="M38" s="985">
        <v>100000</v>
      </c>
      <c r="N38" s="986">
        <v>4118.1000000000004</v>
      </c>
      <c r="O38" s="987">
        <v>-0.3548</v>
      </c>
      <c r="P38" s="988"/>
      <c r="Q38" s="988"/>
      <c r="R38" s="989"/>
      <c r="S38" s="990">
        <v>0.95</v>
      </c>
      <c r="T38" s="990">
        <v>0.95</v>
      </c>
      <c r="U38" s="990">
        <v>0.95</v>
      </c>
      <c r="V38" s="990">
        <v>0.9</v>
      </c>
      <c r="W38" s="990">
        <v>0.9</v>
      </c>
      <c r="X38" s="990">
        <v>0.9</v>
      </c>
      <c r="Y38" s="990">
        <v>0.85</v>
      </c>
      <c r="Z38" s="990"/>
      <c r="AA38" s="990"/>
      <c r="AB38" s="991">
        <v>0.02</v>
      </c>
      <c r="AC38" s="990">
        <v>0.01</v>
      </c>
      <c r="AD38" s="990">
        <v>1.4999999999999999E-2</v>
      </c>
      <c r="AE38" s="990">
        <v>0</v>
      </c>
      <c r="AF38" s="991"/>
      <c r="AG38" s="990"/>
      <c r="AH38" s="990"/>
      <c r="AI38" s="990"/>
      <c r="AJ38" s="990"/>
      <c r="AK38" s="992"/>
      <c r="AL38" s="991"/>
      <c r="AM38" s="990"/>
      <c r="AN38" s="990"/>
      <c r="AO38" s="990"/>
      <c r="AP38" s="990"/>
      <c r="AQ38" s="992"/>
    </row>
    <row r="39" spans="2:43" ht="20.25" customHeight="1" thickBot="1">
      <c r="B39" s="596" t="s">
        <v>1572</v>
      </c>
      <c r="C39" s="4" t="s">
        <v>1573</v>
      </c>
      <c r="D39" s="4" t="str">
        <f>IF(OR(C19="",C18=""),"「地域特性」又は「工種」が未入力のため計算エラーです。","「共通仮設費の率分」（自動計算値）　=　"&amp;TEXT(B31,"0,000")&amp;" × ( "&amp;TEXT(C34,"0.00 %")&amp;IF(D25&gt;1,"　×　"&amp;TEXT(D25,"0.00"),"　＋　"&amp;TEXT(D25,"0.00 %"))&amp;" )")</f>
        <v>「地域特性」又は「工種」が未入力のため計算エラーです。</v>
      </c>
      <c r="J39" s="982">
        <v>1</v>
      </c>
      <c r="K39" s="983" t="s">
        <v>1577</v>
      </c>
      <c r="L39" s="984">
        <v>2000</v>
      </c>
      <c r="M39" s="985">
        <v>100000</v>
      </c>
      <c r="N39" s="994">
        <v>26.8</v>
      </c>
      <c r="O39" s="995">
        <v>-7.4800000000000005E-2</v>
      </c>
      <c r="P39" s="988"/>
      <c r="Q39" s="988"/>
      <c r="R39" s="989"/>
      <c r="S39" s="990">
        <v>0.95</v>
      </c>
      <c r="T39" s="990">
        <v>0.95</v>
      </c>
      <c r="U39" s="990">
        <v>0.95</v>
      </c>
      <c r="V39" s="990">
        <v>0.9</v>
      </c>
      <c r="W39" s="990">
        <v>0.9</v>
      </c>
      <c r="X39" s="990">
        <v>0.9</v>
      </c>
      <c r="Y39" s="990">
        <v>0.85</v>
      </c>
      <c r="Z39" s="990"/>
      <c r="AA39" s="990"/>
      <c r="AB39" s="991">
        <v>0.02</v>
      </c>
      <c r="AC39" s="990">
        <v>0.01</v>
      </c>
      <c r="AD39" s="990">
        <v>1.4999999999999999E-2</v>
      </c>
      <c r="AE39" s="990">
        <v>0</v>
      </c>
      <c r="AF39" s="991"/>
      <c r="AG39" s="990"/>
      <c r="AH39" s="990"/>
      <c r="AI39" s="990"/>
      <c r="AJ39" s="990"/>
      <c r="AK39" s="992"/>
      <c r="AL39" s="991"/>
      <c r="AM39" s="990"/>
      <c r="AN39" s="990"/>
      <c r="AO39" s="990"/>
      <c r="AP39" s="990"/>
      <c r="AQ39" s="992"/>
    </row>
    <row r="40" spans="2:43" ht="20.25" customHeight="1">
      <c r="B40" s="596" t="s">
        <v>1575</v>
      </c>
      <c r="C40" s="4" t="s">
        <v>1576</v>
      </c>
      <c r="D40" s="4" t="str">
        <f>IF(OR(C19="",C18=""),"「地域特性」又は「工種」が未入力のため計算エラーです。","「共通仮設費の率分」（自動計算値）　=　"&amp;TEXT(B31,"0,000")&amp;" × ( "&amp;TEXT(C34,"0.00 %")&amp;IF(D25&gt;1,"　×　"&amp;TEXT(D25,"0.00"),"　＋　"&amp;TEXT(D25,"0.00 %"))&amp;"　＋　"&amp;TEXT(D27,"0.00 %")&amp;" )")</f>
        <v>「地域特性」又は「工種」が未入力のため計算エラーです。</v>
      </c>
      <c r="J40" s="1030">
        <v>2</v>
      </c>
      <c r="K40" s="1031" t="s">
        <v>1138</v>
      </c>
      <c r="L40" s="1032">
        <v>6000</v>
      </c>
      <c r="M40" s="1033">
        <v>2000000</v>
      </c>
      <c r="N40" s="1034">
        <v>357.8</v>
      </c>
      <c r="O40" s="1035">
        <v>-0.2223</v>
      </c>
      <c r="P40" s="976"/>
      <c r="Q40" s="976"/>
      <c r="R40" s="977"/>
      <c r="S40" s="978"/>
      <c r="T40" s="978"/>
      <c r="U40" s="978"/>
      <c r="V40" s="978"/>
      <c r="W40" s="978"/>
      <c r="X40" s="978"/>
      <c r="Y40" s="978"/>
      <c r="Z40" s="978"/>
      <c r="AA40" s="978"/>
      <c r="AB40" s="979"/>
      <c r="AC40" s="978"/>
      <c r="AD40" s="978"/>
      <c r="AE40" s="978"/>
      <c r="AF40" s="979">
        <v>0.02</v>
      </c>
      <c r="AG40" s="978">
        <v>1.4999999999999999E-2</v>
      </c>
      <c r="AH40" s="978">
        <v>0.01</v>
      </c>
      <c r="AI40" s="978">
        <v>1.4999999999999999E-2</v>
      </c>
      <c r="AJ40" s="978">
        <v>0</v>
      </c>
      <c r="AK40" s="980">
        <v>8.0000000000000002E-3</v>
      </c>
      <c r="AL40" s="979"/>
      <c r="AM40" s="978"/>
      <c r="AN40" s="978"/>
      <c r="AO40" s="978"/>
      <c r="AP40" s="978"/>
      <c r="AQ40" s="980"/>
    </row>
    <row r="41" spans="2:43" ht="20.25" customHeight="1">
      <c r="B41" s="596" t="s">
        <v>1578</v>
      </c>
      <c r="C41" s="4" t="s">
        <v>1579</v>
      </c>
      <c r="D41" s="4" t="str">
        <f>IF(OR(C19="",C18="",C21=""),"「地域特性」、「工種」又は「除雪補正」が未入力のため計算エラーです。","「共通仮設費の率分」（自動計算値）　=　"&amp;TEXT(B31,"0,000")&amp;" × ( "&amp;TEXT(C34,"0.00 %")&amp;"　☓　"&amp;D21&amp;IF(D25&gt;1,"　×　"&amp;TEXT(D25,"0.00"),"　＋　"&amp;TEXT(D25,"0.00 %"))&amp;" )")</f>
        <v>「地域特性」、「工種」又は「除雪補正」が未入力のため計算エラーです。</v>
      </c>
      <c r="J41" s="1036">
        <v>2</v>
      </c>
      <c r="K41" s="1037" t="s">
        <v>1137</v>
      </c>
      <c r="L41" s="1038">
        <v>6000</v>
      </c>
      <c r="M41" s="1039">
        <v>2000000</v>
      </c>
      <c r="N41" s="1040">
        <v>132.69999999999999</v>
      </c>
      <c r="O41" s="1041">
        <v>-0.1802</v>
      </c>
      <c r="P41" s="988"/>
      <c r="Q41" s="988"/>
      <c r="R41" s="989"/>
      <c r="S41" s="990"/>
      <c r="T41" s="990"/>
      <c r="U41" s="990"/>
      <c r="V41" s="990"/>
      <c r="W41" s="990"/>
      <c r="X41" s="990"/>
      <c r="Y41" s="990"/>
      <c r="Z41" s="990"/>
      <c r="AA41" s="990"/>
      <c r="AB41" s="991"/>
      <c r="AC41" s="990"/>
      <c r="AD41" s="990"/>
      <c r="AE41" s="990"/>
      <c r="AF41" s="991">
        <v>0.02</v>
      </c>
      <c r="AG41" s="990">
        <v>1.4999999999999999E-2</v>
      </c>
      <c r="AH41" s="990">
        <v>0.01</v>
      </c>
      <c r="AI41" s="990">
        <v>1.4999999999999999E-2</v>
      </c>
      <c r="AJ41" s="990">
        <v>0</v>
      </c>
      <c r="AK41" s="992">
        <v>6.0000000000000001E-3</v>
      </c>
      <c r="AL41" s="991"/>
      <c r="AM41" s="990"/>
      <c r="AN41" s="990"/>
      <c r="AO41" s="990"/>
      <c r="AP41" s="990"/>
      <c r="AQ41" s="992"/>
    </row>
    <row r="42" spans="2:43" ht="20.25" customHeight="1">
      <c r="B42" s="596" t="s">
        <v>1580</v>
      </c>
      <c r="C42" s="4" t="s">
        <v>1581</v>
      </c>
      <c r="D42" s="4" t="str">
        <f>IF(OR(C19="",C18=""),"「地域特性」又は「工種」が未入力のため計算エラーです。","「共通仮設費の率分」（自動計算値）　=　"&amp;TEXT(B31,"0,000")&amp;" × ( "&amp;TEXT(C34,"0.00 %")&amp;"　☓　"&amp;D20&amp;" )")</f>
        <v>「地域特性」又は「工種」が未入力のため計算エラーです。</v>
      </c>
      <c r="J42" s="1036">
        <v>2</v>
      </c>
      <c r="K42" s="1037" t="s">
        <v>1584</v>
      </c>
      <c r="L42" s="1042">
        <v>6000</v>
      </c>
      <c r="M42" s="1043">
        <v>1000000</v>
      </c>
      <c r="N42" s="1044">
        <v>407.9</v>
      </c>
      <c r="O42" s="1045">
        <v>-0.22040000000000001</v>
      </c>
      <c r="P42" s="1046"/>
      <c r="Q42" s="1046"/>
      <c r="R42" s="1047"/>
      <c r="S42" s="1048"/>
      <c r="T42" s="1048"/>
      <c r="U42" s="1048"/>
      <c r="V42" s="1048"/>
      <c r="W42" s="1048"/>
      <c r="X42" s="1048"/>
      <c r="Y42" s="1048"/>
      <c r="Z42" s="1048"/>
      <c r="AA42" s="1048"/>
      <c r="AB42" s="1049"/>
      <c r="AC42" s="1048"/>
      <c r="AD42" s="1048"/>
      <c r="AE42" s="1048"/>
      <c r="AF42" s="1049">
        <v>0.02</v>
      </c>
      <c r="AG42" s="1048">
        <v>1.4999999999999999E-2</v>
      </c>
      <c r="AH42" s="1048">
        <v>0.01</v>
      </c>
      <c r="AI42" s="1048">
        <v>1.4999999999999999E-2</v>
      </c>
      <c r="AJ42" s="1048">
        <v>0</v>
      </c>
      <c r="AK42" s="1050">
        <v>6.0000000000000001E-3</v>
      </c>
      <c r="AL42" s="1049"/>
      <c r="AM42" s="1048"/>
      <c r="AN42" s="1048"/>
      <c r="AO42" s="1048"/>
      <c r="AP42" s="1048"/>
      <c r="AQ42" s="1050"/>
    </row>
    <row r="43" spans="2:43" ht="20.25" customHeight="1">
      <c r="B43" s="596" t="s">
        <v>1582</v>
      </c>
      <c r="C43" s="4" t="s">
        <v>1583</v>
      </c>
      <c r="D43" s="4" t="str">
        <f>IF(OR(C19="",C18="",C21=""),"「地域特性」、「工種」又は「除雪補正」が未入力のため計算エラーです。","「共通仮設費の率分」（自動計算値）　=　"&amp;TEXT(B31,"0,000")&amp;" × ( "&amp;TEXT(C34,"0.00 %")&amp;"　☓　"&amp;D21&amp;"　＋　"&amp;TEXT(C34,"0.00 %")&amp;"　×　"&amp;D20&amp;"　-　"&amp;TEXT(C34,"0.00 %")&amp; " )")</f>
        <v>「地域特性」、「工種」又は「除雪補正」が未入力のため計算エラーです。</v>
      </c>
      <c r="J43" s="1036">
        <v>2</v>
      </c>
      <c r="K43" s="1037" t="s">
        <v>1587</v>
      </c>
      <c r="L43" s="1038">
        <v>6000</v>
      </c>
      <c r="M43" s="1039">
        <v>2000000</v>
      </c>
      <c r="N43" s="1040">
        <v>357.8</v>
      </c>
      <c r="O43" s="1041">
        <v>-0.2223</v>
      </c>
      <c r="P43" s="988"/>
      <c r="Q43" s="988"/>
      <c r="R43" s="989"/>
      <c r="S43" s="990"/>
      <c r="T43" s="990"/>
      <c r="U43" s="990"/>
      <c r="V43" s="990"/>
      <c r="W43" s="990"/>
      <c r="X43" s="990"/>
      <c r="Y43" s="990"/>
      <c r="Z43" s="990"/>
      <c r="AA43" s="990"/>
      <c r="AB43" s="991"/>
      <c r="AC43" s="990"/>
      <c r="AD43" s="990"/>
      <c r="AE43" s="990"/>
      <c r="AF43" s="991">
        <v>0.02</v>
      </c>
      <c r="AG43" s="990">
        <v>1.4999999999999999E-2</v>
      </c>
      <c r="AH43" s="990">
        <v>0.01</v>
      </c>
      <c r="AI43" s="990">
        <v>1.4999999999999999E-2</v>
      </c>
      <c r="AJ43" s="990">
        <v>0</v>
      </c>
      <c r="AK43" s="992">
        <v>8.0000000000000002E-3</v>
      </c>
      <c r="AL43" s="991"/>
      <c r="AM43" s="990"/>
      <c r="AN43" s="990"/>
      <c r="AO43" s="990"/>
      <c r="AP43" s="990"/>
      <c r="AQ43" s="992"/>
    </row>
    <row r="44" spans="2:43" ht="20.25" customHeight="1">
      <c r="B44" s="596" t="s">
        <v>1585</v>
      </c>
      <c r="C44" s="4" t="s">
        <v>1586</v>
      </c>
      <c r="D44" s="4" t="str">
        <f>IF(OR(C19="",C18="",C22=""),"「地域特性」、「工種」又は「仮設営繕・敷地貸与補正」が未入力のため計算エラーです。","「共通仮設費の率分」（自動計算値）　=　"&amp;TEXT(B31,"0,000")&amp;" × (( "&amp;TEXT(C34,"0.00 %")&amp;IF(D25&gt;1,"　×　"&amp;TEXT(D25,"0.00"),"　＋　"&amp;TEXT(D25,"0.00 %")&amp;"　☓　"&amp;D22&amp;" )"))</f>
        <v>「地域特性」、「工種」又は「仮設営繕・敷地貸与補正」が未入力のため計算エラーです。</v>
      </c>
      <c r="J44" s="1036">
        <v>2</v>
      </c>
      <c r="K44" s="1037" t="s">
        <v>1590</v>
      </c>
      <c r="L44" s="1038">
        <v>6000</v>
      </c>
      <c r="M44" s="1039">
        <v>2000000</v>
      </c>
      <c r="N44" s="1040">
        <v>132.69999999999999</v>
      </c>
      <c r="O44" s="1041">
        <v>-0.1802</v>
      </c>
      <c r="P44" s="988"/>
      <c r="Q44" s="988"/>
      <c r="R44" s="989"/>
      <c r="S44" s="990"/>
      <c r="T44" s="990"/>
      <c r="U44" s="990"/>
      <c r="V44" s="990"/>
      <c r="W44" s="990"/>
      <c r="X44" s="990"/>
      <c r="Y44" s="990"/>
      <c r="Z44" s="990"/>
      <c r="AA44" s="990"/>
      <c r="AB44" s="991"/>
      <c r="AC44" s="990"/>
      <c r="AD44" s="990"/>
      <c r="AE44" s="990"/>
      <c r="AF44" s="991">
        <v>0.02</v>
      </c>
      <c r="AG44" s="990">
        <v>1.4999999999999999E-2</v>
      </c>
      <c r="AH44" s="990">
        <v>0.01</v>
      </c>
      <c r="AI44" s="990">
        <v>1.4999999999999999E-2</v>
      </c>
      <c r="AJ44" s="990">
        <v>0</v>
      </c>
      <c r="AK44" s="992">
        <v>6.0000000000000001E-3</v>
      </c>
      <c r="AL44" s="991"/>
      <c r="AM44" s="990"/>
      <c r="AN44" s="990"/>
      <c r="AO44" s="990"/>
      <c r="AP44" s="990"/>
      <c r="AQ44" s="992"/>
    </row>
    <row r="45" spans="2:43" ht="20.25" customHeight="1">
      <c r="B45" s="596" t="s">
        <v>1588</v>
      </c>
      <c r="C45" s="4" t="s">
        <v>1589</v>
      </c>
      <c r="D45" s="4" t="str">
        <f>IF(OR(C19="",C18=""),"「地域特性」又は「工種」が未入力のため計算エラーです。","「共通仮設費の率分」（自動計算値）　=　"&amp;TEXT(B31,"0,000")&amp;" × ( "&amp;TEXT(C34,"0.00 %")&amp;IF(D25&gt;1,"　×　"&amp;TEXT(D25,"0.00"),"　＋　"&amp;TEXT(D25,"0.00 %"))&amp;" )　×　"&amp;TEXT(E23,"0.0")&amp;"）")</f>
        <v>「地域特性」又は「工種」が未入力のため計算エラーです。</v>
      </c>
      <c r="J45" s="1036">
        <v>2</v>
      </c>
      <c r="K45" s="1037" t="s">
        <v>1593</v>
      </c>
      <c r="L45" s="1038">
        <v>6000</v>
      </c>
      <c r="M45" s="1039">
        <v>1000000</v>
      </c>
      <c r="N45" s="1040">
        <v>407.9</v>
      </c>
      <c r="O45" s="1041">
        <v>-0.22040000000000001</v>
      </c>
      <c r="P45" s="988"/>
      <c r="Q45" s="988"/>
      <c r="R45" s="989"/>
      <c r="S45" s="990"/>
      <c r="T45" s="990"/>
      <c r="U45" s="990"/>
      <c r="V45" s="990"/>
      <c r="W45" s="990"/>
      <c r="X45" s="990"/>
      <c r="Y45" s="990"/>
      <c r="Z45" s="990"/>
      <c r="AA45" s="990"/>
      <c r="AB45" s="991"/>
      <c r="AC45" s="990"/>
      <c r="AD45" s="990"/>
      <c r="AE45" s="990"/>
      <c r="AF45" s="991">
        <v>0.02</v>
      </c>
      <c r="AG45" s="990">
        <v>1.4999999999999999E-2</v>
      </c>
      <c r="AH45" s="990">
        <v>0.01</v>
      </c>
      <c r="AI45" s="990">
        <v>1.4999999999999999E-2</v>
      </c>
      <c r="AJ45" s="990">
        <v>0</v>
      </c>
      <c r="AK45" s="992">
        <v>6.0000000000000001E-3</v>
      </c>
      <c r="AL45" s="991"/>
      <c r="AM45" s="990"/>
      <c r="AN45" s="990"/>
      <c r="AO45" s="990"/>
      <c r="AP45" s="990"/>
      <c r="AQ45" s="992"/>
    </row>
    <row r="46" spans="2:43" ht="20.25" customHeight="1">
      <c r="B46" s="596" t="s">
        <v>1591</v>
      </c>
      <c r="C46" s="4" t="s">
        <v>1592</v>
      </c>
      <c r="D46" s="4" t="str">
        <f>IF(OR(C19="",C18=""),"「地域特性」又は「工種」が未入力のため計算エラーです。","「共通仮設費の率分」（自動計算値）　=　"&amp;TEXT(B31,"0,000")&amp;" × ( "&amp;TEXT(C34,"0.00 %")&amp;IF(D25&gt;1,"　×　"&amp;TEXT(D25,"0.00"),"　＋　"&amp;TEXT(D25,"0.00 %"))&amp;"　＋　"&amp;TEXT(D27,"0.00 %")&amp;" )　×　"&amp;TEXT(E23,"0.0")&amp;"）")</f>
        <v>「地域特性」又は「工種」が未入力のため計算エラーです。</v>
      </c>
      <c r="J46" s="1036">
        <v>2</v>
      </c>
      <c r="K46" s="1037" t="s">
        <v>1596</v>
      </c>
      <c r="L46" s="1038">
        <v>6000</v>
      </c>
      <c r="M46" s="1039">
        <v>400000</v>
      </c>
      <c r="N46" s="1040">
        <v>1420.4</v>
      </c>
      <c r="O46" s="1041">
        <v>-0.34899999999999998</v>
      </c>
      <c r="P46" s="988"/>
      <c r="Q46" s="988"/>
      <c r="R46" s="989"/>
      <c r="S46" s="990"/>
      <c r="T46" s="990"/>
      <c r="U46" s="990"/>
      <c r="V46" s="990"/>
      <c r="W46" s="990"/>
      <c r="X46" s="990"/>
      <c r="Y46" s="990"/>
      <c r="Z46" s="990"/>
      <c r="AA46" s="990"/>
      <c r="AB46" s="991"/>
      <c r="AC46" s="990"/>
      <c r="AD46" s="990"/>
      <c r="AE46" s="990"/>
      <c r="AF46" s="991">
        <v>0.02</v>
      </c>
      <c r="AG46" s="990">
        <v>1.4999999999999999E-2</v>
      </c>
      <c r="AH46" s="990">
        <v>0.01</v>
      </c>
      <c r="AI46" s="990">
        <v>1.4999999999999999E-2</v>
      </c>
      <c r="AJ46" s="990">
        <v>0</v>
      </c>
      <c r="AK46" s="992"/>
      <c r="AL46" s="991"/>
      <c r="AM46" s="990"/>
      <c r="AN46" s="990"/>
      <c r="AO46" s="990"/>
      <c r="AP46" s="990"/>
      <c r="AQ46" s="992"/>
    </row>
    <row r="47" spans="2:43" ht="20.25" customHeight="1" thickBot="1">
      <c r="B47" s="596" t="s">
        <v>1594</v>
      </c>
      <c r="C47" s="4" t="s">
        <v>1595</v>
      </c>
      <c r="D47" s="4" t="str">
        <f>IF(OR(C19="",C18="",C21=""),"「地域特性」、「工種」又は「除雪補正」が未入力のため計算エラーです。","「共通仮設費の率分」（自動計算値）　=　"&amp;TEXT(B31,"0,000")&amp;" × ( "&amp;TEXT(C34,"0.00 %")&amp;"　☓　"&amp;D21&amp;IF(D25&gt;1,"　×　"&amp;TEXT(D25,"0.00"),"　＋　"&amp;TEXT(D25,"0.00 %"))&amp;" )　×　"&amp;TEXT(E23,"0.0")&amp;"）")</f>
        <v>「地域特性」、「工種」又は「除雪補正」が未入力のため計算エラーです。</v>
      </c>
      <c r="J47" s="1036">
        <v>2</v>
      </c>
      <c r="K47" s="1037" t="s">
        <v>1599</v>
      </c>
      <c r="L47" s="1038">
        <v>6000</v>
      </c>
      <c r="M47" s="1039">
        <v>1000000</v>
      </c>
      <c r="N47" s="986">
        <v>1228.3</v>
      </c>
      <c r="O47" s="987">
        <v>-0.26140000000000002</v>
      </c>
      <c r="P47" s="988"/>
      <c r="Q47" s="988"/>
      <c r="R47" s="989"/>
      <c r="S47" s="990"/>
      <c r="T47" s="990"/>
      <c r="U47" s="990"/>
      <c r="V47" s="990"/>
      <c r="W47" s="990"/>
      <c r="X47" s="990"/>
      <c r="Y47" s="990"/>
      <c r="Z47" s="990"/>
      <c r="AA47" s="990"/>
      <c r="AB47" s="991"/>
      <c r="AC47" s="990"/>
      <c r="AD47" s="990"/>
      <c r="AE47" s="990"/>
      <c r="AF47" s="991">
        <v>0.02</v>
      </c>
      <c r="AG47" s="990">
        <v>1.4999999999999999E-2</v>
      </c>
      <c r="AH47" s="990">
        <v>0.01</v>
      </c>
      <c r="AI47" s="990">
        <v>1.4999999999999999E-2</v>
      </c>
      <c r="AJ47" s="990">
        <v>0</v>
      </c>
      <c r="AK47" s="992"/>
      <c r="AL47" s="991"/>
      <c r="AM47" s="990"/>
      <c r="AN47" s="990"/>
      <c r="AO47" s="990"/>
      <c r="AP47" s="990"/>
      <c r="AQ47" s="992"/>
    </row>
    <row r="48" spans="2:43" ht="20.25" customHeight="1">
      <c r="B48" s="596" t="s">
        <v>1597</v>
      </c>
      <c r="C48" s="4" t="s">
        <v>1598</v>
      </c>
      <c r="D48" s="4" t="str">
        <f>IF(OR(C19="",C18=""),"「地域特性」又は「工種」が未入力のため計算エラーです。","「共通仮設費の率分」（自動計算値）　=　"&amp;TEXT(B31,"0,000")&amp;" × ( "&amp;TEXT(C34,"0.00 %")&amp;"　☓　"&amp;D20&amp;" )　×　"&amp;TEXT(E23,"0.0")&amp;"）")</f>
        <v>「地域特性」又は「工種」が未入力のため計算エラーです。</v>
      </c>
      <c r="J48" s="1051">
        <v>3</v>
      </c>
      <c r="K48" s="1052" t="s">
        <v>1136</v>
      </c>
      <c r="L48" s="1053">
        <v>5000</v>
      </c>
      <c r="M48" s="1054">
        <v>5000000</v>
      </c>
      <c r="N48" s="1055">
        <v>664.4</v>
      </c>
      <c r="O48" s="1056">
        <v>-0.2482</v>
      </c>
      <c r="P48" s="976"/>
      <c r="Q48" s="976"/>
      <c r="R48" s="977"/>
      <c r="S48" s="978"/>
      <c r="T48" s="978"/>
      <c r="U48" s="978"/>
      <c r="V48" s="978"/>
      <c r="W48" s="978"/>
      <c r="X48" s="978"/>
      <c r="Y48" s="978"/>
      <c r="Z48" s="978"/>
      <c r="AA48" s="978"/>
      <c r="AB48" s="979">
        <v>0.02</v>
      </c>
      <c r="AC48" s="978">
        <v>0.01</v>
      </c>
      <c r="AD48" s="978">
        <v>1.4999999999999999E-2</v>
      </c>
      <c r="AE48" s="978">
        <v>0</v>
      </c>
      <c r="AF48" s="979"/>
      <c r="AG48" s="978"/>
      <c r="AH48" s="978"/>
      <c r="AI48" s="978"/>
      <c r="AJ48" s="978"/>
      <c r="AK48" s="980"/>
      <c r="AL48" s="979">
        <v>1.3</v>
      </c>
      <c r="AM48" s="978">
        <v>1.3</v>
      </c>
      <c r="AN48" s="979">
        <v>0.02</v>
      </c>
      <c r="AO48" s="978">
        <v>0.01</v>
      </c>
      <c r="AP48" s="978">
        <v>1.4999999999999999E-2</v>
      </c>
      <c r="AQ48" s="978">
        <v>0</v>
      </c>
    </row>
    <row r="49" spans="2:43" ht="20.25" customHeight="1">
      <c r="B49" s="596" t="s">
        <v>1600</v>
      </c>
      <c r="C49" s="4" t="s">
        <v>1601</v>
      </c>
      <c r="D49" s="4" t="str">
        <f>IF(OR(C19="",C18="",C21=""),"「地域特性」、「工種」又は「除雪補正」が未入力のため計算エラーです。","「共通仮設費の率分」（自動計算値）　=　"&amp;TEXT(B31,"0,000")&amp;" × ( "&amp;TEXT(C34,"0.00 %")&amp;"　☓　"&amp;D21&amp;"　＋　"&amp;TEXT(C34,"0.00 %")&amp;"　×　"&amp;D20&amp;"　-　"&amp;TEXT(C34,"0.00 %")&amp; " )　×　"&amp;TEXT(E23,"0.0")&amp;"）")</f>
        <v>「地域特性」、「工種」又は「除雪補正」が未入力のため計算エラーです。</v>
      </c>
      <c r="J49" s="1057">
        <v>3</v>
      </c>
      <c r="K49" s="1058" t="s">
        <v>1602</v>
      </c>
      <c r="L49" s="1059">
        <v>5000</v>
      </c>
      <c r="M49" s="1060">
        <v>2000000</v>
      </c>
      <c r="N49" s="1061">
        <v>608.70000000000005</v>
      </c>
      <c r="O49" s="1062">
        <v>-0.24379999999999999</v>
      </c>
      <c r="P49" s="988"/>
      <c r="Q49" s="988"/>
      <c r="R49" s="989"/>
      <c r="S49" s="990"/>
      <c r="T49" s="990"/>
      <c r="U49" s="990"/>
      <c r="V49" s="990"/>
      <c r="W49" s="990"/>
      <c r="X49" s="990"/>
      <c r="Y49" s="990"/>
      <c r="Z49" s="990"/>
      <c r="AA49" s="990"/>
      <c r="AB49" s="991">
        <v>0.02</v>
      </c>
      <c r="AC49" s="990">
        <v>0.01</v>
      </c>
      <c r="AD49" s="990">
        <v>1.4999999999999999E-2</v>
      </c>
      <c r="AE49" s="990">
        <v>0</v>
      </c>
      <c r="AF49" s="991"/>
      <c r="AG49" s="990"/>
      <c r="AH49" s="990"/>
      <c r="AI49" s="990"/>
      <c r="AJ49" s="990"/>
      <c r="AK49" s="992"/>
      <c r="AL49" s="991">
        <v>1.3</v>
      </c>
      <c r="AM49" s="990">
        <v>1.3</v>
      </c>
      <c r="AN49" s="991">
        <v>0.02</v>
      </c>
      <c r="AO49" s="990">
        <v>0.01</v>
      </c>
      <c r="AP49" s="990">
        <v>1.4999999999999999E-2</v>
      </c>
      <c r="AQ49" s="990">
        <v>0</v>
      </c>
    </row>
    <row r="50" spans="2:43" ht="20.25" customHeight="1">
      <c r="B50" s="596"/>
      <c r="J50" s="1057">
        <v>3</v>
      </c>
      <c r="K50" s="1058" t="s">
        <v>1603</v>
      </c>
      <c r="L50" s="1059">
        <v>5000</v>
      </c>
      <c r="M50" s="1060">
        <v>2000000</v>
      </c>
      <c r="N50" s="1061">
        <v>608.70000000000005</v>
      </c>
      <c r="O50" s="1062">
        <v>-0.24379999999999999</v>
      </c>
      <c r="P50" s="988"/>
      <c r="Q50" s="988"/>
      <c r="R50" s="989"/>
      <c r="S50" s="990"/>
      <c r="T50" s="990"/>
      <c r="U50" s="990"/>
      <c r="V50" s="990"/>
      <c r="W50" s="990"/>
      <c r="X50" s="990"/>
      <c r="Y50" s="990"/>
      <c r="Z50" s="990"/>
      <c r="AA50" s="990"/>
      <c r="AB50" s="991">
        <v>0.02</v>
      </c>
      <c r="AC50" s="990">
        <v>0.01</v>
      </c>
      <c r="AD50" s="990">
        <v>1.4999999999999999E-2</v>
      </c>
      <c r="AE50" s="990">
        <v>0</v>
      </c>
      <c r="AF50" s="991"/>
      <c r="AG50" s="990"/>
      <c r="AH50" s="990"/>
      <c r="AI50" s="990"/>
      <c r="AJ50" s="990"/>
      <c r="AK50" s="992"/>
      <c r="AL50" s="991">
        <v>1.3</v>
      </c>
      <c r="AM50" s="990">
        <v>1.3</v>
      </c>
      <c r="AN50" s="991">
        <v>0.02</v>
      </c>
      <c r="AO50" s="990">
        <v>0.01</v>
      </c>
      <c r="AP50" s="990">
        <v>1.4999999999999999E-2</v>
      </c>
      <c r="AQ50" s="990">
        <v>0</v>
      </c>
    </row>
    <row r="51" spans="2:43" ht="20.25" customHeight="1">
      <c r="J51" s="1057">
        <v>3</v>
      </c>
      <c r="K51" s="1058" t="s">
        <v>1604</v>
      </c>
      <c r="L51" s="1059">
        <v>5000</v>
      </c>
      <c r="M51" s="1060">
        <v>200000</v>
      </c>
      <c r="N51" s="1061">
        <v>127.6</v>
      </c>
      <c r="O51" s="1062">
        <v>-0.1915</v>
      </c>
      <c r="P51" s="988"/>
      <c r="Q51" s="988"/>
      <c r="R51" s="989"/>
      <c r="S51" s="990"/>
      <c r="T51" s="990"/>
      <c r="U51" s="990"/>
      <c r="V51" s="990"/>
      <c r="W51" s="990"/>
      <c r="X51" s="990"/>
      <c r="Y51" s="990"/>
      <c r="Z51" s="990"/>
      <c r="AA51" s="990"/>
      <c r="AB51" s="991">
        <v>0.02</v>
      </c>
      <c r="AC51" s="990">
        <v>0.01</v>
      </c>
      <c r="AD51" s="990">
        <v>1.4999999999999999E-2</v>
      </c>
      <c r="AE51" s="990">
        <v>0</v>
      </c>
      <c r="AF51" s="991"/>
      <c r="AG51" s="990"/>
      <c r="AH51" s="990"/>
      <c r="AI51" s="990"/>
      <c r="AJ51" s="990"/>
      <c r="AK51" s="992"/>
      <c r="AL51" s="991">
        <v>0</v>
      </c>
      <c r="AM51" s="990">
        <v>0</v>
      </c>
      <c r="AN51" s="991">
        <v>0.02</v>
      </c>
      <c r="AO51" s="990">
        <v>0.01</v>
      </c>
      <c r="AP51" s="990">
        <v>1.4999999999999999E-2</v>
      </c>
      <c r="AQ51" s="990">
        <v>0</v>
      </c>
    </row>
    <row r="52" spans="2:43" ht="20.25" customHeight="1" thickBot="1">
      <c r="J52" s="1057">
        <v>3</v>
      </c>
      <c r="K52" s="1058" t="s">
        <v>1605</v>
      </c>
      <c r="L52" s="1059">
        <v>5000</v>
      </c>
      <c r="M52" s="1060">
        <v>200000</v>
      </c>
      <c r="N52" s="1061">
        <v>127.6</v>
      </c>
      <c r="O52" s="1062">
        <v>-0.1915</v>
      </c>
      <c r="P52" s="988"/>
      <c r="Q52" s="988"/>
      <c r="R52" s="989"/>
      <c r="S52" s="990"/>
      <c r="T52" s="990"/>
      <c r="U52" s="990"/>
      <c r="V52" s="990"/>
      <c r="W52" s="990"/>
      <c r="X52" s="990"/>
      <c r="Y52" s="990"/>
      <c r="Z52" s="990"/>
      <c r="AA52" s="990"/>
      <c r="AB52" s="991">
        <v>0.02</v>
      </c>
      <c r="AC52" s="990">
        <v>0.01</v>
      </c>
      <c r="AD52" s="990">
        <v>1.4999999999999999E-2</v>
      </c>
      <c r="AE52" s="990">
        <v>0</v>
      </c>
      <c r="AF52" s="991"/>
      <c r="AG52" s="990"/>
      <c r="AH52" s="990"/>
      <c r="AI52" s="990"/>
      <c r="AJ52" s="990"/>
      <c r="AK52" s="992"/>
      <c r="AL52" s="991">
        <v>0</v>
      </c>
      <c r="AM52" s="990">
        <v>0</v>
      </c>
      <c r="AN52" s="991">
        <v>0.02</v>
      </c>
      <c r="AO52" s="990">
        <v>0.01</v>
      </c>
      <c r="AP52" s="990">
        <v>1.4999999999999999E-2</v>
      </c>
      <c r="AQ52" s="990">
        <v>0</v>
      </c>
    </row>
    <row r="53" spans="2:43" ht="20.25" customHeight="1">
      <c r="J53" s="1063">
        <v>4</v>
      </c>
      <c r="K53" s="1064" t="s">
        <v>1147</v>
      </c>
      <c r="L53" s="1065">
        <v>3000</v>
      </c>
      <c r="M53" s="1066">
        <v>1000000</v>
      </c>
      <c r="N53" s="1067">
        <v>75.099999999999994</v>
      </c>
      <c r="O53" s="1068">
        <v>-0.12470000000000001</v>
      </c>
      <c r="P53" s="1069"/>
      <c r="Q53" s="1069"/>
      <c r="R53" s="1070"/>
      <c r="S53" s="1071"/>
      <c r="T53" s="1071"/>
      <c r="U53" s="1071"/>
      <c r="V53" s="1071"/>
      <c r="W53" s="1071"/>
      <c r="X53" s="1071"/>
      <c r="Y53" s="1071"/>
      <c r="Z53" s="1071"/>
      <c r="AA53" s="1071"/>
      <c r="AB53" s="1072">
        <v>0.02</v>
      </c>
      <c r="AC53" s="1071">
        <v>0.01</v>
      </c>
      <c r="AD53" s="1071">
        <v>1.4999999999999999E-2</v>
      </c>
      <c r="AE53" s="1071">
        <v>0</v>
      </c>
      <c r="AF53" s="1072"/>
      <c r="AG53" s="1071"/>
      <c r="AH53" s="1071"/>
      <c r="AI53" s="1071"/>
      <c r="AJ53" s="1071"/>
      <c r="AK53" s="1073"/>
      <c r="AL53" s="1072"/>
      <c r="AM53" s="1071"/>
      <c r="AN53" s="1071"/>
      <c r="AO53" s="1071"/>
      <c r="AP53" s="1071"/>
      <c r="AQ53" s="1073"/>
    </row>
    <row r="54" spans="2:43" ht="20.25" customHeight="1">
      <c r="J54" s="1074">
        <v>4</v>
      </c>
      <c r="K54" s="1075" t="s">
        <v>1146</v>
      </c>
      <c r="L54" s="1076">
        <v>3000</v>
      </c>
      <c r="M54" s="1077">
        <v>1000000</v>
      </c>
      <c r="N54" s="1078">
        <v>98</v>
      </c>
      <c r="O54" s="1079">
        <v>-0.13039999999999999</v>
      </c>
      <c r="P54" s="1046"/>
      <c r="Q54" s="1046"/>
      <c r="R54" s="1047"/>
      <c r="S54" s="1048"/>
      <c r="T54" s="1048"/>
      <c r="U54" s="1048"/>
      <c r="V54" s="1048"/>
      <c r="W54" s="1048"/>
      <c r="X54" s="1048"/>
      <c r="Y54" s="1048"/>
      <c r="Z54" s="1048"/>
      <c r="AA54" s="1048"/>
      <c r="AB54" s="1049">
        <v>0.02</v>
      </c>
      <c r="AC54" s="1048">
        <v>0.01</v>
      </c>
      <c r="AD54" s="1048">
        <v>1.4999999999999999E-2</v>
      </c>
      <c r="AE54" s="1048">
        <v>0</v>
      </c>
      <c r="AF54" s="1049"/>
      <c r="AG54" s="1048"/>
      <c r="AH54" s="1048"/>
      <c r="AI54" s="1048"/>
      <c r="AJ54" s="1048"/>
      <c r="AK54" s="1050"/>
      <c r="AL54" s="1049"/>
      <c r="AM54" s="1048"/>
      <c r="AN54" s="1048"/>
      <c r="AO54" s="1048"/>
      <c r="AP54" s="1048"/>
      <c r="AQ54" s="1050"/>
    </row>
    <row r="55" spans="2:43" ht="20.25" customHeight="1">
      <c r="J55" s="1074">
        <v>4</v>
      </c>
      <c r="K55" s="1075" t="s">
        <v>1145</v>
      </c>
      <c r="L55" s="1076">
        <v>3000</v>
      </c>
      <c r="M55" s="1077">
        <v>1000000</v>
      </c>
      <c r="N55" s="1078">
        <v>76.099999999999994</v>
      </c>
      <c r="O55" s="1079">
        <v>-0.1166</v>
      </c>
      <c r="P55" s="1046"/>
      <c r="Q55" s="1046"/>
      <c r="R55" s="1047"/>
      <c r="S55" s="1048"/>
      <c r="T55" s="1048"/>
      <c r="U55" s="1048"/>
      <c r="V55" s="1048"/>
      <c r="W55" s="1048"/>
      <c r="X55" s="1048"/>
      <c r="Y55" s="1048"/>
      <c r="Z55" s="1048"/>
      <c r="AA55" s="1048"/>
      <c r="AB55" s="1049">
        <v>0.02</v>
      </c>
      <c r="AC55" s="1048">
        <v>0.01</v>
      </c>
      <c r="AD55" s="1048">
        <v>1.4999999999999999E-2</v>
      </c>
      <c r="AE55" s="1048">
        <v>0</v>
      </c>
      <c r="AF55" s="1049"/>
      <c r="AG55" s="1048"/>
      <c r="AH55" s="1048"/>
      <c r="AI55" s="1048"/>
      <c r="AJ55" s="1048"/>
      <c r="AK55" s="1050"/>
      <c r="AL55" s="1049"/>
      <c r="AM55" s="1048"/>
      <c r="AN55" s="1048"/>
      <c r="AO55" s="1048"/>
      <c r="AP55" s="1048"/>
      <c r="AQ55" s="1050"/>
    </row>
    <row r="56" spans="2:43" ht="20.25" customHeight="1">
      <c r="B56" s="41"/>
      <c r="J56" s="1074">
        <v>4</v>
      </c>
      <c r="K56" s="1075" t="s">
        <v>1144</v>
      </c>
      <c r="L56" s="1076">
        <v>3000</v>
      </c>
      <c r="M56" s="1077">
        <v>1000000</v>
      </c>
      <c r="N56" s="1078">
        <v>403.7</v>
      </c>
      <c r="O56" s="1079">
        <v>-0.19769999999999999</v>
      </c>
      <c r="P56" s="1046"/>
      <c r="Q56" s="1046"/>
      <c r="R56" s="1047"/>
      <c r="S56" s="1048"/>
      <c r="T56" s="1048"/>
      <c r="U56" s="1048"/>
      <c r="V56" s="1048"/>
      <c r="W56" s="1048"/>
      <c r="X56" s="1048"/>
      <c r="Y56" s="1048"/>
      <c r="Z56" s="1048"/>
      <c r="AA56" s="1048"/>
      <c r="AB56" s="1049">
        <v>0.02</v>
      </c>
      <c r="AC56" s="1048">
        <v>0.01</v>
      </c>
      <c r="AD56" s="1048">
        <v>1.4999999999999999E-2</v>
      </c>
      <c r="AE56" s="1048">
        <v>0</v>
      </c>
      <c r="AF56" s="1049"/>
      <c r="AG56" s="1048"/>
      <c r="AH56" s="1048"/>
      <c r="AI56" s="1048"/>
      <c r="AJ56" s="1048"/>
      <c r="AK56" s="1050"/>
      <c r="AL56" s="1049"/>
      <c r="AM56" s="1048"/>
      <c r="AN56" s="1048"/>
      <c r="AO56" s="1048"/>
      <c r="AP56" s="1048"/>
      <c r="AQ56" s="1050"/>
    </row>
    <row r="57" spans="2:43" ht="20.25" customHeight="1">
      <c r="J57" s="1074">
        <v>4</v>
      </c>
      <c r="K57" s="1075" t="s">
        <v>1143</v>
      </c>
      <c r="L57" s="1080">
        <v>3000</v>
      </c>
      <c r="M57" s="1077">
        <v>1000000</v>
      </c>
      <c r="N57" s="1078">
        <v>56.5</v>
      </c>
      <c r="O57" s="1079">
        <v>-0.1106</v>
      </c>
      <c r="P57" s="1046"/>
      <c r="Q57" s="1046"/>
      <c r="R57" s="1047"/>
      <c r="S57" s="1048"/>
      <c r="T57" s="1048"/>
      <c r="U57" s="1048"/>
      <c r="V57" s="1048"/>
      <c r="W57" s="1048"/>
      <c r="X57" s="1048"/>
      <c r="Y57" s="1048"/>
      <c r="Z57" s="1048"/>
      <c r="AA57" s="1048"/>
      <c r="AB57" s="1049">
        <v>0.02</v>
      </c>
      <c r="AC57" s="1048">
        <v>0.01</v>
      </c>
      <c r="AD57" s="1048">
        <v>1.4999999999999999E-2</v>
      </c>
      <c r="AE57" s="1048">
        <v>0</v>
      </c>
      <c r="AF57" s="1049"/>
      <c r="AG57" s="1048"/>
      <c r="AH57" s="1048"/>
      <c r="AI57" s="1048"/>
      <c r="AJ57" s="1048"/>
      <c r="AK57" s="1050"/>
      <c r="AL57" s="1049"/>
      <c r="AM57" s="1048"/>
      <c r="AN57" s="1048"/>
      <c r="AO57" s="1048"/>
      <c r="AP57" s="1048"/>
      <c r="AQ57" s="1050"/>
    </row>
    <row r="58" spans="2:43" ht="20.25" customHeight="1">
      <c r="J58" s="1074">
        <v>4</v>
      </c>
      <c r="K58" s="1075" t="s">
        <v>1142</v>
      </c>
      <c r="L58" s="1076">
        <v>3000</v>
      </c>
      <c r="M58" s="1077">
        <v>1000000</v>
      </c>
      <c r="N58" s="1078">
        <v>66.400000000000006</v>
      </c>
      <c r="O58" s="1079">
        <v>-0.1168</v>
      </c>
      <c r="P58" s="1046"/>
      <c r="Q58" s="1046"/>
      <c r="R58" s="1047"/>
      <c r="S58" s="1048"/>
      <c r="T58" s="1048"/>
      <c r="U58" s="1048"/>
      <c r="V58" s="1048"/>
      <c r="W58" s="1048"/>
      <c r="X58" s="1048"/>
      <c r="Y58" s="1048"/>
      <c r="Z58" s="1048"/>
      <c r="AA58" s="1048"/>
      <c r="AB58" s="1049">
        <v>0.02</v>
      </c>
      <c r="AC58" s="1048">
        <v>0.01</v>
      </c>
      <c r="AD58" s="1048">
        <v>1.4999999999999999E-2</v>
      </c>
      <c r="AE58" s="1048">
        <v>0</v>
      </c>
      <c r="AF58" s="1049"/>
      <c r="AG58" s="1048"/>
      <c r="AH58" s="1048"/>
      <c r="AI58" s="1048"/>
      <c r="AJ58" s="1048"/>
      <c r="AK58" s="1050"/>
      <c r="AL58" s="1049"/>
      <c r="AM58" s="1048"/>
      <c r="AN58" s="1048"/>
      <c r="AO58" s="1048"/>
      <c r="AP58" s="1048"/>
      <c r="AQ58" s="1050"/>
    </row>
    <row r="59" spans="2:43" ht="20.25" customHeight="1">
      <c r="J59" s="1074">
        <v>4</v>
      </c>
      <c r="K59" s="1075" t="s">
        <v>1141</v>
      </c>
      <c r="L59" s="1076">
        <v>3000</v>
      </c>
      <c r="M59" s="1081">
        <v>1000000</v>
      </c>
      <c r="N59" s="1082">
        <v>98.9</v>
      </c>
      <c r="O59" s="1083">
        <v>-0.14030000000000001</v>
      </c>
      <c r="P59" s="988"/>
      <c r="Q59" s="988"/>
      <c r="R59" s="989"/>
      <c r="S59" s="990"/>
      <c r="T59" s="990"/>
      <c r="U59" s="990"/>
      <c r="V59" s="990"/>
      <c r="W59" s="990"/>
      <c r="X59" s="990"/>
      <c r="Y59" s="990"/>
      <c r="Z59" s="990"/>
      <c r="AA59" s="990"/>
      <c r="AB59" s="991">
        <v>0.02</v>
      </c>
      <c r="AC59" s="990">
        <v>0.01</v>
      </c>
      <c r="AD59" s="990">
        <v>1.4999999999999999E-2</v>
      </c>
      <c r="AE59" s="990">
        <v>0</v>
      </c>
      <c r="AF59" s="991"/>
      <c r="AG59" s="990"/>
      <c r="AH59" s="990"/>
      <c r="AI59" s="990"/>
      <c r="AJ59" s="990"/>
      <c r="AK59" s="992"/>
      <c r="AL59" s="991"/>
      <c r="AM59" s="990"/>
      <c r="AN59" s="990"/>
      <c r="AO59" s="990"/>
      <c r="AP59" s="990"/>
      <c r="AQ59" s="992"/>
    </row>
    <row r="60" spans="2:43" ht="20.25" customHeight="1">
      <c r="J60" s="1074">
        <v>4</v>
      </c>
      <c r="K60" s="1075" t="s">
        <v>1140</v>
      </c>
      <c r="L60" s="1080">
        <v>3000</v>
      </c>
      <c r="M60" s="1077">
        <v>1000000</v>
      </c>
      <c r="N60" s="1078">
        <v>39.799999999999997</v>
      </c>
      <c r="O60" s="1079">
        <v>-8.2799999999999999E-2</v>
      </c>
      <c r="P60" s="1046"/>
      <c r="Q60" s="1046"/>
      <c r="R60" s="1047"/>
      <c r="S60" s="1048"/>
      <c r="T60" s="1048"/>
      <c r="U60" s="1048"/>
      <c r="V60" s="1048"/>
      <c r="W60" s="1048"/>
      <c r="X60" s="1048"/>
      <c r="Y60" s="1048"/>
      <c r="Z60" s="1048"/>
      <c r="AA60" s="1048"/>
      <c r="AB60" s="1049">
        <v>0.02</v>
      </c>
      <c r="AC60" s="1048">
        <v>0.01</v>
      </c>
      <c r="AD60" s="1048">
        <v>1.4999999999999999E-2</v>
      </c>
      <c r="AE60" s="1048">
        <v>0</v>
      </c>
      <c r="AF60" s="1049"/>
      <c r="AG60" s="1048"/>
      <c r="AH60" s="1048"/>
      <c r="AI60" s="1048"/>
      <c r="AJ60" s="1048"/>
      <c r="AK60" s="1050"/>
      <c r="AL60" s="1049"/>
      <c r="AM60" s="1048"/>
      <c r="AN60" s="1048"/>
      <c r="AO60" s="1048"/>
      <c r="AP60" s="1048"/>
      <c r="AQ60" s="1050"/>
    </row>
    <row r="61" spans="2:43" ht="20.25" customHeight="1">
      <c r="J61" s="1074">
        <v>4</v>
      </c>
      <c r="K61" s="1075" t="s">
        <v>1606</v>
      </c>
      <c r="L61" s="1080">
        <v>3000</v>
      </c>
      <c r="M61" s="1077">
        <v>1000000</v>
      </c>
      <c r="N61" s="1078">
        <v>257.2</v>
      </c>
      <c r="O61" s="1079">
        <v>-0.1817</v>
      </c>
      <c r="P61" s="1046"/>
      <c r="Q61" s="1046"/>
      <c r="R61" s="1047"/>
      <c r="S61" s="1048"/>
      <c r="T61" s="1048"/>
      <c r="U61" s="1048"/>
      <c r="V61" s="1048"/>
      <c r="W61" s="1048"/>
      <c r="X61" s="1048"/>
      <c r="Y61" s="1048"/>
      <c r="Z61" s="1048"/>
      <c r="AA61" s="1048"/>
      <c r="AB61" s="1049">
        <v>0.02</v>
      </c>
      <c r="AC61" s="1048">
        <v>0.01</v>
      </c>
      <c r="AD61" s="1048">
        <v>1.4999999999999999E-2</v>
      </c>
      <c r="AE61" s="1048">
        <v>0</v>
      </c>
      <c r="AF61" s="1049"/>
      <c r="AG61" s="1048"/>
      <c r="AH61" s="1048"/>
      <c r="AI61" s="1048"/>
      <c r="AJ61" s="1048"/>
      <c r="AK61" s="1050"/>
      <c r="AL61" s="1049"/>
      <c r="AM61" s="1048"/>
      <c r="AN61" s="1048"/>
      <c r="AO61" s="1048"/>
      <c r="AP61" s="1048"/>
      <c r="AQ61" s="1050"/>
    </row>
    <row r="62" spans="2:43" ht="20.25" customHeight="1">
      <c r="J62" s="1074">
        <v>4</v>
      </c>
      <c r="K62" s="1075" t="s">
        <v>1607</v>
      </c>
      <c r="L62" s="1080">
        <v>3000</v>
      </c>
      <c r="M62" s="1077">
        <v>1000000</v>
      </c>
      <c r="N62" s="1078">
        <v>86</v>
      </c>
      <c r="O62" s="1079">
        <v>-0.12089999999999999</v>
      </c>
      <c r="P62" s="1046"/>
      <c r="Q62" s="1046"/>
      <c r="R62" s="1047"/>
      <c r="S62" s="1048"/>
      <c r="T62" s="1048"/>
      <c r="U62" s="1048"/>
      <c r="V62" s="1048"/>
      <c r="W62" s="1048"/>
      <c r="X62" s="1048"/>
      <c r="Y62" s="1048"/>
      <c r="Z62" s="1048"/>
      <c r="AA62" s="1048"/>
      <c r="AB62" s="1049">
        <v>0.02</v>
      </c>
      <c r="AC62" s="1048">
        <v>0.01</v>
      </c>
      <c r="AD62" s="1048">
        <v>1.4999999999999999E-2</v>
      </c>
      <c r="AE62" s="1048">
        <v>0</v>
      </c>
      <c r="AF62" s="1049"/>
      <c r="AG62" s="1048"/>
      <c r="AH62" s="1048"/>
      <c r="AI62" s="1048"/>
      <c r="AJ62" s="1048"/>
      <c r="AK62" s="1050"/>
      <c r="AL62" s="1049"/>
      <c r="AM62" s="1048"/>
      <c r="AN62" s="1048"/>
      <c r="AO62" s="1048"/>
      <c r="AP62" s="1048"/>
      <c r="AQ62" s="1050"/>
    </row>
    <row r="63" spans="2:43" ht="20.25" customHeight="1">
      <c r="J63" s="1074">
        <v>4</v>
      </c>
      <c r="K63" s="1075" t="s">
        <v>1608</v>
      </c>
      <c r="L63" s="1076">
        <v>6000</v>
      </c>
      <c r="M63" s="1081">
        <v>1000000</v>
      </c>
      <c r="N63" s="1078">
        <v>407.9</v>
      </c>
      <c r="O63" s="1079">
        <v>-0.22040000000000001</v>
      </c>
      <c r="P63" s="1046"/>
      <c r="Q63" s="1046"/>
      <c r="R63" s="1047"/>
      <c r="S63" s="1048"/>
      <c r="T63" s="1048"/>
      <c r="U63" s="1048"/>
      <c r="V63" s="1048"/>
      <c r="W63" s="1048"/>
      <c r="X63" s="1048"/>
      <c r="Y63" s="1048"/>
      <c r="Z63" s="1048"/>
      <c r="AA63" s="1048"/>
      <c r="AB63" s="1049">
        <v>0.02</v>
      </c>
      <c r="AC63" s="1048">
        <v>0.01</v>
      </c>
      <c r="AD63" s="1048">
        <v>1.4999999999999999E-2</v>
      </c>
      <c r="AE63" s="1048">
        <v>0</v>
      </c>
      <c r="AF63" s="1049"/>
      <c r="AG63" s="1048"/>
      <c r="AH63" s="1048"/>
      <c r="AI63" s="1048"/>
      <c r="AJ63" s="1048"/>
      <c r="AK63" s="1050">
        <v>6.0000000000000001E-3</v>
      </c>
      <c r="AL63" s="1049"/>
      <c r="AM63" s="1048"/>
      <c r="AN63" s="1048"/>
      <c r="AO63" s="1048"/>
      <c r="AP63" s="1048"/>
      <c r="AQ63" s="1050"/>
    </row>
    <row r="64" spans="2:43" ht="20.25" customHeight="1">
      <c r="J64" s="1074">
        <v>4</v>
      </c>
      <c r="K64" s="1075" t="s">
        <v>1609</v>
      </c>
      <c r="L64" s="1080">
        <v>6000</v>
      </c>
      <c r="M64" s="1077">
        <v>2000000</v>
      </c>
      <c r="N64" s="1078">
        <v>423.6</v>
      </c>
      <c r="O64" s="1079">
        <v>-0.2266</v>
      </c>
      <c r="P64" s="1046"/>
      <c r="Q64" s="1046"/>
      <c r="R64" s="1047"/>
      <c r="S64" s="1048"/>
      <c r="T64" s="1048"/>
      <c r="U64" s="1048"/>
      <c r="V64" s="1048"/>
      <c r="W64" s="1048"/>
      <c r="X64" s="1048"/>
      <c r="Y64" s="1048"/>
      <c r="Z64" s="1048"/>
      <c r="AA64" s="1048"/>
      <c r="AB64" s="1049">
        <v>0.02</v>
      </c>
      <c r="AC64" s="1048">
        <v>0.01</v>
      </c>
      <c r="AD64" s="1048">
        <v>1.4999999999999999E-2</v>
      </c>
      <c r="AE64" s="1048">
        <v>0</v>
      </c>
      <c r="AF64" s="1049"/>
      <c r="AG64" s="1048"/>
      <c r="AH64" s="1048"/>
      <c r="AI64" s="1048"/>
      <c r="AJ64" s="1048"/>
      <c r="AK64" s="1050"/>
      <c r="AL64" s="1049"/>
      <c r="AM64" s="1048"/>
      <c r="AN64" s="1048"/>
      <c r="AO64" s="1048"/>
      <c r="AP64" s="1048"/>
      <c r="AQ64" s="1050"/>
    </row>
    <row r="65" spans="10:43" ht="20.25" customHeight="1">
      <c r="J65" s="1074">
        <v>4</v>
      </c>
      <c r="K65" s="1075" t="s">
        <v>1610</v>
      </c>
      <c r="L65" s="1080">
        <v>300000</v>
      </c>
      <c r="M65" s="1077">
        <v>5000000</v>
      </c>
      <c r="N65" s="1078">
        <v>43.7</v>
      </c>
      <c r="O65" s="1079">
        <v>-8.9800000000000005E-2</v>
      </c>
      <c r="P65" s="1046"/>
      <c r="Q65" s="1046"/>
      <c r="R65" s="1047"/>
      <c r="S65" s="1048"/>
      <c r="T65" s="1048"/>
      <c r="U65" s="1048"/>
      <c r="V65" s="1048"/>
      <c r="W65" s="1048"/>
      <c r="X65" s="1048"/>
      <c r="Y65" s="1048"/>
      <c r="Z65" s="1048"/>
      <c r="AA65" s="1048"/>
      <c r="AB65" s="1049"/>
      <c r="AC65" s="1048"/>
      <c r="AD65" s="1048"/>
      <c r="AE65" s="1048"/>
      <c r="AF65" s="1049"/>
      <c r="AG65" s="1048"/>
      <c r="AH65" s="1048"/>
      <c r="AI65" s="1048"/>
      <c r="AJ65" s="1048"/>
      <c r="AK65" s="1050"/>
      <c r="AL65" s="1049"/>
      <c r="AM65" s="1048"/>
      <c r="AN65" s="1048"/>
      <c r="AO65" s="1048"/>
      <c r="AP65" s="1048"/>
      <c r="AQ65" s="1050"/>
    </row>
    <row r="66" spans="10:43" ht="20.25" customHeight="1">
      <c r="J66" s="1074">
        <v>4</v>
      </c>
      <c r="K66" s="1075" t="s">
        <v>1611</v>
      </c>
      <c r="L66" s="1080">
        <v>300000</v>
      </c>
      <c r="M66" s="1077">
        <v>5000000</v>
      </c>
      <c r="N66" s="1078">
        <v>105.2</v>
      </c>
      <c r="O66" s="1079">
        <v>-0.11</v>
      </c>
      <c r="P66" s="1046"/>
      <c r="Q66" s="1046"/>
      <c r="R66" s="1047"/>
      <c r="S66" s="1048"/>
      <c r="T66" s="1048"/>
      <c r="U66" s="1048"/>
      <c r="V66" s="1048"/>
      <c r="W66" s="1048"/>
      <c r="X66" s="1048"/>
      <c r="Y66" s="1048"/>
      <c r="Z66" s="1048"/>
      <c r="AA66" s="1048"/>
      <c r="AB66" s="1049"/>
      <c r="AC66" s="1048"/>
      <c r="AD66" s="1048"/>
      <c r="AE66" s="1048"/>
      <c r="AF66" s="1049"/>
      <c r="AG66" s="1048"/>
      <c r="AH66" s="1048"/>
      <c r="AI66" s="1048"/>
      <c r="AJ66" s="1048"/>
      <c r="AK66" s="1050"/>
      <c r="AL66" s="1049"/>
      <c r="AM66" s="1048"/>
      <c r="AN66" s="1048"/>
      <c r="AO66" s="1048"/>
      <c r="AP66" s="1048"/>
      <c r="AQ66" s="1050"/>
    </row>
    <row r="67" spans="10:43" ht="20.25" customHeight="1">
      <c r="J67" s="1074">
        <v>4</v>
      </c>
      <c r="K67" s="1075" t="s">
        <v>1612</v>
      </c>
      <c r="L67" s="1076">
        <v>3000</v>
      </c>
      <c r="M67" s="1081">
        <v>1000000</v>
      </c>
      <c r="N67" s="1082">
        <v>98.9</v>
      </c>
      <c r="O67" s="1083">
        <v>-0.14030000000000001</v>
      </c>
      <c r="P67" s="988"/>
      <c r="Q67" s="988"/>
      <c r="R67" s="989"/>
      <c r="S67" s="990"/>
      <c r="T67" s="990"/>
      <c r="U67" s="990"/>
      <c r="V67" s="990"/>
      <c r="W67" s="990"/>
      <c r="X67" s="990"/>
      <c r="Y67" s="990"/>
      <c r="Z67" s="990"/>
      <c r="AA67" s="990"/>
      <c r="AB67" s="991">
        <v>0.02</v>
      </c>
      <c r="AC67" s="990">
        <v>0.01</v>
      </c>
      <c r="AD67" s="990">
        <v>1.4999999999999999E-2</v>
      </c>
      <c r="AE67" s="990">
        <v>0</v>
      </c>
      <c r="AF67" s="991"/>
      <c r="AG67" s="990"/>
      <c r="AH67" s="990"/>
      <c r="AI67" s="990"/>
      <c r="AJ67" s="990"/>
      <c r="AK67" s="992"/>
      <c r="AL67" s="991"/>
      <c r="AM67" s="990"/>
      <c r="AN67" s="990"/>
      <c r="AO67" s="990"/>
      <c r="AP67" s="990"/>
      <c r="AQ67" s="992"/>
    </row>
    <row r="68" spans="10:43" ht="20.25" customHeight="1">
      <c r="J68" s="1074">
        <v>4</v>
      </c>
      <c r="K68" s="1075" t="s">
        <v>1613</v>
      </c>
      <c r="L68" s="1076">
        <v>3000</v>
      </c>
      <c r="M68" s="1081">
        <v>1000000</v>
      </c>
      <c r="N68" s="1082">
        <v>98.9</v>
      </c>
      <c r="O68" s="1083">
        <v>-0.14030000000000001</v>
      </c>
      <c r="P68" s="988"/>
      <c r="Q68" s="988"/>
      <c r="R68" s="989"/>
      <c r="S68" s="990"/>
      <c r="T68" s="990"/>
      <c r="U68" s="990"/>
      <c r="V68" s="990"/>
      <c r="W68" s="990"/>
      <c r="X68" s="990"/>
      <c r="Y68" s="990"/>
      <c r="Z68" s="990"/>
      <c r="AA68" s="990"/>
      <c r="AB68" s="991">
        <v>0.02</v>
      </c>
      <c r="AC68" s="990">
        <v>0.01</v>
      </c>
      <c r="AD68" s="990">
        <v>1.4999999999999999E-2</v>
      </c>
      <c r="AE68" s="990">
        <v>0</v>
      </c>
      <c r="AF68" s="991"/>
      <c r="AG68" s="990"/>
      <c r="AH68" s="990"/>
      <c r="AI68" s="990"/>
      <c r="AJ68" s="990"/>
      <c r="AK68" s="992"/>
      <c r="AL68" s="991"/>
      <c r="AM68" s="990"/>
      <c r="AN68" s="990"/>
      <c r="AO68" s="990"/>
      <c r="AP68" s="990"/>
      <c r="AQ68" s="992"/>
    </row>
    <row r="69" spans="10:43" ht="20.25" customHeight="1">
      <c r="J69" s="1074">
        <v>4</v>
      </c>
      <c r="K69" s="1075" t="s">
        <v>1614</v>
      </c>
      <c r="L69" s="1076">
        <v>3000</v>
      </c>
      <c r="M69" s="1081">
        <v>1000000</v>
      </c>
      <c r="N69" s="1082">
        <v>98.9</v>
      </c>
      <c r="O69" s="1083">
        <v>-0.14030000000000001</v>
      </c>
      <c r="P69" s="988"/>
      <c r="Q69" s="988"/>
      <c r="R69" s="989"/>
      <c r="S69" s="990"/>
      <c r="T69" s="990"/>
      <c r="U69" s="990"/>
      <c r="V69" s="990"/>
      <c r="W69" s="990"/>
      <c r="X69" s="990"/>
      <c r="Y69" s="990"/>
      <c r="Z69" s="990"/>
      <c r="AA69" s="990"/>
      <c r="AB69" s="991">
        <v>0.02</v>
      </c>
      <c r="AC69" s="990">
        <v>0.01</v>
      </c>
      <c r="AD69" s="990">
        <v>1.4999999999999999E-2</v>
      </c>
      <c r="AE69" s="990">
        <v>0</v>
      </c>
      <c r="AF69" s="991"/>
      <c r="AG69" s="990"/>
      <c r="AH69" s="990"/>
      <c r="AI69" s="990"/>
      <c r="AJ69" s="990"/>
      <c r="AK69" s="992"/>
      <c r="AL69" s="991"/>
      <c r="AM69" s="990"/>
      <c r="AN69" s="990"/>
      <c r="AO69" s="990"/>
      <c r="AP69" s="990"/>
      <c r="AQ69" s="992"/>
    </row>
    <row r="70" spans="10:43" ht="20.25" customHeight="1">
      <c r="J70" s="1074">
        <v>4</v>
      </c>
      <c r="K70" s="1075" t="s">
        <v>1615</v>
      </c>
      <c r="L70" s="1076">
        <v>3000</v>
      </c>
      <c r="M70" s="1081">
        <v>1000000</v>
      </c>
      <c r="N70" s="1082">
        <v>98.9</v>
      </c>
      <c r="O70" s="1083">
        <v>-0.14030000000000001</v>
      </c>
      <c r="P70" s="988"/>
      <c r="Q70" s="988"/>
      <c r="R70" s="989"/>
      <c r="S70" s="990"/>
      <c r="T70" s="990"/>
      <c r="U70" s="990"/>
      <c r="V70" s="990"/>
      <c r="W70" s="990"/>
      <c r="X70" s="990"/>
      <c r="Y70" s="990"/>
      <c r="Z70" s="990"/>
      <c r="AA70" s="990"/>
      <c r="AB70" s="991">
        <v>0.02</v>
      </c>
      <c r="AC70" s="990">
        <v>0.01</v>
      </c>
      <c r="AD70" s="990">
        <v>1.4999999999999999E-2</v>
      </c>
      <c r="AE70" s="990">
        <v>0</v>
      </c>
      <c r="AF70" s="991"/>
      <c r="AG70" s="990"/>
      <c r="AH70" s="990"/>
      <c r="AI70" s="990"/>
      <c r="AJ70" s="990"/>
      <c r="AK70" s="992"/>
      <c r="AL70" s="991"/>
      <c r="AM70" s="990"/>
      <c r="AN70" s="990"/>
      <c r="AO70" s="990"/>
      <c r="AP70" s="990"/>
      <c r="AQ70" s="992"/>
    </row>
    <row r="71" spans="10:43" ht="20.25" customHeight="1">
      <c r="J71" s="1074">
        <v>4</v>
      </c>
      <c r="K71" s="1075" t="s">
        <v>1616</v>
      </c>
      <c r="L71" s="1076">
        <v>3000</v>
      </c>
      <c r="M71" s="1081">
        <v>1000000</v>
      </c>
      <c r="N71" s="1082">
        <v>98.9</v>
      </c>
      <c r="O71" s="1083">
        <v>-0.14030000000000001</v>
      </c>
      <c r="P71" s="988"/>
      <c r="Q71" s="988"/>
      <c r="R71" s="989"/>
      <c r="S71" s="990"/>
      <c r="T71" s="990"/>
      <c r="U71" s="990"/>
      <c r="V71" s="990"/>
      <c r="W71" s="990"/>
      <c r="X71" s="990"/>
      <c r="Y71" s="990"/>
      <c r="Z71" s="990"/>
      <c r="AA71" s="990"/>
      <c r="AB71" s="991">
        <v>0.02</v>
      </c>
      <c r="AC71" s="990">
        <v>0.01</v>
      </c>
      <c r="AD71" s="990">
        <v>1.4999999999999999E-2</v>
      </c>
      <c r="AE71" s="990">
        <v>0</v>
      </c>
      <c r="AF71" s="991"/>
      <c r="AG71" s="990"/>
      <c r="AH71" s="990"/>
      <c r="AI71" s="990"/>
      <c r="AJ71" s="990"/>
      <c r="AK71" s="992"/>
      <c r="AL71" s="991"/>
      <c r="AM71" s="990"/>
      <c r="AN71" s="990"/>
      <c r="AO71" s="990"/>
      <c r="AP71" s="990"/>
      <c r="AQ71" s="992"/>
    </row>
    <row r="72" spans="10:43" ht="20.25" customHeight="1" thickBot="1">
      <c r="J72" s="1074">
        <v>4</v>
      </c>
      <c r="K72" s="1075" t="s">
        <v>1139</v>
      </c>
      <c r="L72" s="1080">
        <v>3000</v>
      </c>
      <c r="M72" s="1077">
        <v>1000000</v>
      </c>
      <c r="N72" s="1082">
        <v>72.5</v>
      </c>
      <c r="O72" s="1083">
        <v>-0.13009999999999999</v>
      </c>
      <c r="P72" s="1046"/>
      <c r="Q72" s="1046"/>
      <c r="R72" s="1047"/>
      <c r="S72" s="1048"/>
      <c r="T72" s="1048"/>
      <c r="U72" s="1048"/>
      <c r="V72" s="1048"/>
      <c r="W72" s="1048"/>
      <c r="X72" s="1048"/>
      <c r="Y72" s="1048"/>
      <c r="Z72" s="1048"/>
      <c r="AA72" s="1048"/>
      <c r="AB72" s="1049">
        <v>0.02</v>
      </c>
      <c r="AC72" s="1048">
        <v>0.01</v>
      </c>
      <c r="AD72" s="1048">
        <v>1.4999999999999999E-2</v>
      </c>
      <c r="AE72" s="1048">
        <v>0</v>
      </c>
      <c r="AF72" s="1049"/>
      <c r="AG72" s="1048"/>
      <c r="AH72" s="1048"/>
      <c r="AI72" s="1048"/>
      <c r="AJ72" s="1048"/>
      <c r="AK72" s="1050"/>
      <c r="AL72" s="1049"/>
      <c r="AM72" s="1048"/>
      <c r="AN72" s="1048"/>
      <c r="AO72" s="1048"/>
      <c r="AP72" s="1048"/>
      <c r="AQ72" s="1050"/>
    </row>
    <row r="73" spans="10:43" ht="20.25" customHeight="1">
      <c r="J73" s="1084">
        <v>7</v>
      </c>
      <c r="K73" s="1085" t="s">
        <v>1131</v>
      </c>
      <c r="L73" s="1086">
        <v>10000</v>
      </c>
      <c r="M73" s="1087">
        <v>10000000</v>
      </c>
      <c r="N73" s="1088">
        <v>1030.4000000000001</v>
      </c>
      <c r="O73" s="1089">
        <v>-0.24660000000000001</v>
      </c>
      <c r="P73" s="1069"/>
      <c r="Q73" s="1069"/>
      <c r="R73" s="1070"/>
      <c r="S73" s="1071"/>
      <c r="T73" s="1071"/>
      <c r="U73" s="1071"/>
      <c r="V73" s="1071"/>
      <c r="W73" s="1071"/>
      <c r="X73" s="1071"/>
      <c r="Y73" s="1071"/>
      <c r="Z73" s="978">
        <v>0.45</v>
      </c>
      <c r="AA73" s="978">
        <v>0.5</v>
      </c>
      <c r="AB73" s="1072">
        <v>0.02</v>
      </c>
      <c r="AC73" s="1071">
        <v>0.01</v>
      </c>
      <c r="AD73" s="1071">
        <v>1.4999999999999999E-2</v>
      </c>
      <c r="AE73" s="1071">
        <v>0</v>
      </c>
      <c r="AF73" s="1072"/>
      <c r="AG73" s="1071"/>
      <c r="AH73" s="1071"/>
      <c r="AI73" s="1071"/>
      <c r="AJ73" s="1071"/>
      <c r="AK73" s="1073"/>
      <c r="AL73" s="1072"/>
      <c r="AM73" s="1071"/>
      <c r="AN73" s="1071"/>
      <c r="AO73" s="1071"/>
      <c r="AP73" s="1071"/>
      <c r="AQ73" s="1073"/>
    </row>
    <row r="74" spans="10:43" ht="20.25" customHeight="1">
      <c r="J74" s="1090">
        <v>7</v>
      </c>
      <c r="K74" s="1091" t="s">
        <v>1130</v>
      </c>
      <c r="L74" s="1092">
        <v>10000</v>
      </c>
      <c r="M74" s="1093">
        <v>10000000</v>
      </c>
      <c r="N74" s="1094">
        <v>148.4</v>
      </c>
      <c r="O74" s="1095">
        <v>-0.1552</v>
      </c>
      <c r="P74" s="1096"/>
      <c r="Q74" s="1096"/>
      <c r="R74" s="1097"/>
      <c r="S74" s="1098"/>
      <c r="T74" s="1098"/>
      <c r="U74" s="1098"/>
      <c r="V74" s="1098"/>
      <c r="W74" s="1098"/>
      <c r="X74" s="1098"/>
      <c r="Y74" s="1098"/>
      <c r="Z74" s="990">
        <v>0.45</v>
      </c>
      <c r="AA74" s="990">
        <v>0.5</v>
      </c>
      <c r="AB74" s="1099">
        <v>0.01</v>
      </c>
      <c r="AC74" s="1098">
        <v>0</v>
      </c>
      <c r="AD74" s="1098">
        <v>7.4999999999999997E-3</v>
      </c>
      <c r="AE74" s="1098">
        <v>0</v>
      </c>
      <c r="AF74" s="1099"/>
      <c r="AG74" s="1098"/>
      <c r="AH74" s="1098"/>
      <c r="AI74" s="1098"/>
      <c r="AJ74" s="1098"/>
      <c r="AK74" s="1100"/>
      <c r="AL74" s="1099"/>
      <c r="AM74" s="1098"/>
      <c r="AN74" s="1098"/>
      <c r="AO74" s="1098"/>
      <c r="AP74" s="1098"/>
      <c r="AQ74" s="1100"/>
    </row>
    <row r="75" spans="10:43" ht="20.25" customHeight="1">
      <c r="J75" s="1101">
        <v>7</v>
      </c>
      <c r="K75" s="1102" t="s">
        <v>1129</v>
      </c>
      <c r="L75" s="1103">
        <v>10000</v>
      </c>
      <c r="M75" s="1104">
        <v>10000000</v>
      </c>
      <c r="N75" s="1105">
        <v>822.2</v>
      </c>
      <c r="O75" s="1106">
        <v>-0.22</v>
      </c>
      <c r="P75" s="1046"/>
      <c r="Q75" s="1046"/>
      <c r="R75" s="1047"/>
      <c r="S75" s="1048"/>
      <c r="T75" s="1048"/>
      <c r="U75" s="1048"/>
      <c r="V75" s="1048"/>
      <c r="W75" s="1048"/>
      <c r="X75" s="1048"/>
      <c r="Y75" s="1048"/>
      <c r="Z75" s="990">
        <v>0.45</v>
      </c>
      <c r="AA75" s="990">
        <v>0.5</v>
      </c>
      <c r="AB75" s="1049">
        <v>0.01</v>
      </c>
      <c r="AC75" s="1048">
        <v>0</v>
      </c>
      <c r="AD75" s="1048">
        <v>7.4999999999999997E-3</v>
      </c>
      <c r="AE75" s="1048">
        <v>0</v>
      </c>
      <c r="AF75" s="1049"/>
      <c r="AG75" s="1048"/>
      <c r="AH75" s="1048"/>
      <c r="AI75" s="1048"/>
      <c r="AJ75" s="1048"/>
      <c r="AK75" s="1050"/>
      <c r="AL75" s="1049"/>
      <c r="AM75" s="1048"/>
      <c r="AN75" s="1048"/>
      <c r="AO75" s="1048"/>
      <c r="AP75" s="1048"/>
      <c r="AQ75" s="1050"/>
    </row>
    <row r="76" spans="10:43" ht="20.25" customHeight="1">
      <c r="J76" s="1101">
        <v>7</v>
      </c>
      <c r="K76" s="1102" t="s">
        <v>1128</v>
      </c>
      <c r="L76" s="1103">
        <v>10000</v>
      </c>
      <c r="M76" s="1104">
        <v>10000000</v>
      </c>
      <c r="N76" s="1105">
        <v>1636.8</v>
      </c>
      <c r="O76" s="1106">
        <v>-0.26290000000000002</v>
      </c>
      <c r="P76" s="1046"/>
      <c r="Q76" s="1046"/>
      <c r="R76" s="1047"/>
      <c r="S76" s="1048"/>
      <c r="T76" s="1048"/>
      <c r="U76" s="1048"/>
      <c r="V76" s="1048"/>
      <c r="W76" s="1048"/>
      <c r="X76" s="1048"/>
      <c r="Y76" s="1048"/>
      <c r="Z76" s="990">
        <v>0.45</v>
      </c>
      <c r="AA76" s="990">
        <v>0.5</v>
      </c>
      <c r="AB76" s="1049">
        <v>0.01</v>
      </c>
      <c r="AC76" s="1048">
        <v>0</v>
      </c>
      <c r="AD76" s="1048">
        <v>7.4999999999999997E-3</v>
      </c>
      <c r="AE76" s="1048">
        <v>0</v>
      </c>
      <c r="AF76" s="1049"/>
      <c r="AG76" s="1048"/>
      <c r="AH76" s="1048"/>
      <c r="AI76" s="1048"/>
      <c r="AJ76" s="1048"/>
      <c r="AK76" s="1050"/>
      <c r="AL76" s="1049"/>
      <c r="AM76" s="1048"/>
      <c r="AN76" s="1048"/>
      <c r="AO76" s="1048"/>
      <c r="AP76" s="1048"/>
      <c r="AQ76" s="1050"/>
    </row>
    <row r="77" spans="10:43" ht="20.25" customHeight="1">
      <c r="J77" s="1101">
        <v>7</v>
      </c>
      <c r="K77" s="1102" t="s">
        <v>1617</v>
      </c>
      <c r="L77" s="1103">
        <v>10000</v>
      </c>
      <c r="M77" s="1104">
        <v>10000000</v>
      </c>
      <c r="N77" s="1105">
        <v>395.2</v>
      </c>
      <c r="O77" s="1106">
        <v>-0.1978</v>
      </c>
      <c r="P77" s="1046"/>
      <c r="Q77" s="1046"/>
      <c r="R77" s="1047"/>
      <c r="S77" s="1048"/>
      <c r="T77" s="1048"/>
      <c r="U77" s="1048"/>
      <c r="V77" s="1048"/>
      <c r="W77" s="1048"/>
      <c r="X77" s="1048"/>
      <c r="Y77" s="1048"/>
      <c r="Z77" s="990">
        <v>0.45</v>
      </c>
      <c r="AA77" s="990">
        <v>0.5</v>
      </c>
      <c r="AB77" s="1049">
        <v>0.01</v>
      </c>
      <c r="AC77" s="1048">
        <v>0</v>
      </c>
      <c r="AD77" s="1048">
        <v>7.4999999999999997E-3</v>
      </c>
      <c r="AE77" s="1048">
        <v>0</v>
      </c>
      <c r="AF77" s="1049"/>
      <c r="AG77" s="1048"/>
      <c r="AH77" s="1048"/>
      <c r="AI77" s="1048"/>
      <c r="AJ77" s="1048"/>
      <c r="AK77" s="1050"/>
      <c r="AL77" s="1049"/>
      <c r="AM77" s="1048"/>
      <c r="AN77" s="1048"/>
      <c r="AO77" s="1048"/>
      <c r="AP77" s="1048"/>
      <c r="AQ77" s="1050"/>
    </row>
    <row r="78" spans="10:43" ht="20.25" customHeight="1">
      <c r="J78" s="1101">
        <v>7</v>
      </c>
      <c r="K78" s="1102" t="s">
        <v>1618</v>
      </c>
      <c r="L78" s="1103">
        <v>10000</v>
      </c>
      <c r="M78" s="1104">
        <v>10000000</v>
      </c>
      <c r="N78" s="1105">
        <v>107.9</v>
      </c>
      <c r="O78" s="1106">
        <v>-0.14549999999999999</v>
      </c>
      <c r="P78" s="1046"/>
      <c r="Q78" s="1046"/>
      <c r="R78" s="1047"/>
      <c r="S78" s="1048"/>
      <c r="T78" s="1048"/>
      <c r="U78" s="1048"/>
      <c r="V78" s="1048"/>
      <c r="W78" s="1048"/>
      <c r="X78" s="1048"/>
      <c r="Y78" s="1048"/>
      <c r="Z78" s="990">
        <v>0.45</v>
      </c>
      <c r="AA78" s="990">
        <v>0.5</v>
      </c>
      <c r="AB78" s="1049">
        <v>0.01</v>
      </c>
      <c r="AC78" s="1048">
        <v>0</v>
      </c>
      <c r="AD78" s="1048">
        <v>7.4999999999999997E-3</v>
      </c>
      <c r="AE78" s="1048">
        <v>0</v>
      </c>
      <c r="AF78" s="1049"/>
      <c r="AG78" s="1048"/>
      <c r="AH78" s="1048"/>
      <c r="AI78" s="1048"/>
      <c r="AJ78" s="1048"/>
      <c r="AK78" s="1050"/>
      <c r="AL78" s="1049"/>
      <c r="AM78" s="1048"/>
      <c r="AN78" s="1048"/>
      <c r="AO78" s="1048"/>
      <c r="AP78" s="1048"/>
      <c r="AQ78" s="1050"/>
    </row>
    <row r="79" spans="10:43" ht="20.25" customHeight="1">
      <c r="J79" s="1101">
        <v>7</v>
      </c>
      <c r="K79" s="1102" t="s">
        <v>1126</v>
      </c>
      <c r="L79" s="1103">
        <v>10000</v>
      </c>
      <c r="M79" s="1104">
        <v>10000000</v>
      </c>
      <c r="N79" s="1105">
        <v>35.799999999999997</v>
      </c>
      <c r="O79" s="1106">
        <v>-0.13039999999999999</v>
      </c>
      <c r="P79" s="1046"/>
      <c r="Q79" s="1046"/>
      <c r="R79" s="1047"/>
      <c r="S79" s="1048"/>
      <c r="T79" s="1048"/>
      <c r="U79" s="1048"/>
      <c r="V79" s="1048"/>
      <c r="W79" s="1048"/>
      <c r="X79" s="1048"/>
      <c r="Y79" s="1048"/>
      <c r="Z79" s="990">
        <v>0.45</v>
      </c>
      <c r="AA79" s="990">
        <v>0.5</v>
      </c>
      <c r="AB79" s="1049">
        <v>0.01</v>
      </c>
      <c r="AC79" s="1048">
        <v>0</v>
      </c>
      <c r="AD79" s="1048">
        <v>7.4999999999999997E-3</v>
      </c>
      <c r="AE79" s="1048">
        <v>0</v>
      </c>
      <c r="AF79" s="1049"/>
      <c r="AG79" s="1048"/>
      <c r="AH79" s="1048"/>
      <c r="AI79" s="1048"/>
      <c r="AJ79" s="1048"/>
      <c r="AK79" s="1050"/>
      <c r="AL79" s="1049"/>
      <c r="AM79" s="1048"/>
      <c r="AN79" s="1048"/>
      <c r="AO79" s="1048"/>
      <c r="AP79" s="1048"/>
      <c r="AQ79" s="1050"/>
    </row>
    <row r="80" spans="10:43" ht="20.25" customHeight="1">
      <c r="J80" s="1101">
        <v>7</v>
      </c>
      <c r="K80" s="1102" t="s">
        <v>1125</v>
      </c>
      <c r="L80" s="1103">
        <v>10000</v>
      </c>
      <c r="M80" s="1104">
        <v>10000000</v>
      </c>
      <c r="N80" s="1105">
        <v>34596.300000000003</v>
      </c>
      <c r="O80" s="1106">
        <v>-0.48949999999999999</v>
      </c>
      <c r="P80" s="1046"/>
      <c r="Q80" s="1046"/>
      <c r="R80" s="1047"/>
      <c r="S80" s="1048"/>
      <c r="T80" s="1048"/>
      <c r="U80" s="1048"/>
      <c r="V80" s="1048"/>
      <c r="W80" s="1048"/>
      <c r="X80" s="1048"/>
      <c r="Y80" s="1048"/>
      <c r="Z80" s="990">
        <v>0.45</v>
      </c>
      <c r="AA80" s="990">
        <v>0.5</v>
      </c>
      <c r="AB80" s="1049">
        <v>0.01</v>
      </c>
      <c r="AC80" s="1048">
        <v>0</v>
      </c>
      <c r="AD80" s="1048">
        <v>7.4999999999999997E-3</v>
      </c>
      <c r="AE80" s="1048">
        <v>0</v>
      </c>
      <c r="AF80" s="1049"/>
      <c r="AG80" s="1048"/>
      <c r="AH80" s="1048"/>
      <c r="AI80" s="1048"/>
      <c r="AJ80" s="1048"/>
      <c r="AK80" s="1050"/>
      <c r="AL80" s="1049"/>
      <c r="AM80" s="1048"/>
      <c r="AN80" s="1048"/>
      <c r="AO80" s="1048"/>
      <c r="AP80" s="1048"/>
      <c r="AQ80" s="1050"/>
    </row>
    <row r="81" spans="10:43" ht="20.25" customHeight="1">
      <c r="J81" s="1101">
        <v>7</v>
      </c>
      <c r="K81" s="1102" t="s">
        <v>1123</v>
      </c>
      <c r="L81" s="1103">
        <v>500000</v>
      </c>
      <c r="M81" s="1104">
        <v>10000000</v>
      </c>
      <c r="N81" s="1105">
        <v>10614.5</v>
      </c>
      <c r="O81" s="1106">
        <v>-0.35470000000000002</v>
      </c>
      <c r="P81" s="1046"/>
      <c r="Q81" s="1046"/>
      <c r="R81" s="1047"/>
      <c r="S81" s="1048"/>
      <c r="T81" s="1048"/>
      <c r="U81" s="1048"/>
      <c r="V81" s="1048"/>
      <c r="W81" s="1048"/>
      <c r="X81" s="1048"/>
      <c r="Y81" s="1048"/>
      <c r="Z81" s="990">
        <v>0.45</v>
      </c>
      <c r="AA81" s="990">
        <v>0.5</v>
      </c>
      <c r="AB81" s="1049">
        <v>0.01</v>
      </c>
      <c r="AC81" s="1048">
        <v>0</v>
      </c>
      <c r="AD81" s="1048">
        <v>7.4999999999999997E-3</v>
      </c>
      <c r="AE81" s="1048">
        <v>0</v>
      </c>
      <c r="AF81" s="1049"/>
      <c r="AG81" s="1048"/>
      <c r="AH81" s="1048"/>
      <c r="AI81" s="1048"/>
      <c r="AJ81" s="1048"/>
      <c r="AK81" s="1050"/>
      <c r="AL81" s="1049"/>
      <c r="AM81" s="1048"/>
      <c r="AN81" s="1048"/>
      <c r="AO81" s="1048"/>
      <c r="AP81" s="1048"/>
      <c r="AQ81" s="1050"/>
    </row>
    <row r="82" spans="10:43" ht="20.25" customHeight="1">
      <c r="J82" s="1101">
        <v>7</v>
      </c>
      <c r="K82" s="1102" t="s">
        <v>1122</v>
      </c>
      <c r="L82" s="1103">
        <v>500000</v>
      </c>
      <c r="M82" s="1104">
        <v>10000000</v>
      </c>
      <c r="N82" s="1105">
        <v>152.19999999999999</v>
      </c>
      <c r="O82" s="1106">
        <v>-0.1545</v>
      </c>
      <c r="P82" s="1046"/>
      <c r="Q82" s="1046"/>
      <c r="R82" s="1047"/>
      <c r="S82" s="1048"/>
      <c r="T82" s="1048"/>
      <c r="U82" s="1048"/>
      <c r="V82" s="1048"/>
      <c r="W82" s="1048"/>
      <c r="X82" s="1048"/>
      <c r="Y82" s="1048"/>
      <c r="Z82" s="990">
        <v>0.45</v>
      </c>
      <c r="AA82" s="990">
        <v>0.5</v>
      </c>
      <c r="AB82" s="1049">
        <v>0.01</v>
      </c>
      <c r="AC82" s="1048">
        <v>0</v>
      </c>
      <c r="AD82" s="1048">
        <v>7.4999999999999997E-3</v>
      </c>
      <c r="AE82" s="1048">
        <v>0</v>
      </c>
      <c r="AF82" s="1049"/>
      <c r="AG82" s="1048"/>
      <c r="AH82" s="1048"/>
      <c r="AI82" s="1048"/>
      <c r="AJ82" s="1048"/>
      <c r="AK82" s="1050"/>
      <c r="AL82" s="1049"/>
      <c r="AM82" s="1048"/>
      <c r="AN82" s="1048"/>
      <c r="AO82" s="1048"/>
      <c r="AP82" s="1048"/>
      <c r="AQ82" s="1050"/>
    </row>
    <row r="83" spans="10:43" ht="20.25" customHeight="1">
      <c r="J83" s="1101">
        <v>7</v>
      </c>
      <c r="K83" s="1102" t="s">
        <v>1619</v>
      </c>
      <c r="L83" s="1103">
        <v>10000</v>
      </c>
      <c r="M83" s="1104">
        <v>10000000</v>
      </c>
      <c r="N83" s="1105">
        <v>18.600000000000001</v>
      </c>
      <c r="O83" s="1106">
        <v>-6.4899999999999999E-2</v>
      </c>
      <c r="P83" s="1046"/>
      <c r="Q83" s="1046"/>
      <c r="R83" s="1047"/>
      <c r="S83" s="1048"/>
      <c r="T83" s="1048"/>
      <c r="U83" s="1048"/>
      <c r="V83" s="1048"/>
      <c r="W83" s="1048"/>
      <c r="X83" s="1048"/>
      <c r="Y83" s="1048"/>
      <c r="Z83" s="990">
        <v>0.45</v>
      </c>
      <c r="AA83" s="990">
        <v>0.5</v>
      </c>
      <c r="AB83" s="1049">
        <v>0.01</v>
      </c>
      <c r="AC83" s="1048">
        <v>0</v>
      </c>
      <c r="AD83" s="1048">
        <v>7.4999999999999997E-3</v>
      </c>
      <c r="AE83" s="1048">
        <v>0</v>
      </c>
      <c r="AF83" s="1049"/>
      <c r="AG83" s="1048"/>
      <c r="AH83" s="1048"/>
      <c r="AI83" s="1048"/>
      <c r="AJ83" s="1048"/>
      <c r="AK83" s="1050"/>
      <c r="AL83" s="1049"/>
      <c r="AM83" s="1048"/>
      <c r="AN83" s="1048"/>
      <c r="AO83" s="1048"/>
      <c r="AP83" s="1048"/>
      <c r="AQ83" s="1050"/>
    </row>
    <row r="84" spans="10:43" ht="20.25" customHeight="1" thickBot="1">
      <c r="J84" s="1107">
        <v>7</v>
      </c>
      <c r="K84" s="1108" t="s">
        <v>1620</v>
      </c>
      <c r="L84" s="1109">
        <v>10000</v>
      </c>
      <c r="M84" s="1110">
        <v>10000000</v>
      </c>
      <c r="N84" s="1111">
        <v>73</v>
      </c>
      <c r="O84" s="1112">
        <v>-0.1236</v>
      </c>
      <c r="P84" s="1113"/>
      <c r="Q84" s="1113"/>
      <c r="R84" s="1114"/>
      <c r="S84" s="1115"/>
      <c r="T84" s="1115"/>
      <c r="U84" s="1115"/>
      <c r="V84" s="1115"/>
      <c r="W84" s="1115"/>
      <c r="X84" s="1115"/>
      <c r="Y84" s="1115"/>
      <c r="Z84" s="1116">
        <v>0.45</v>
      </c>
      <c r="AA84" s="1116">
        <v>0.5</v>
      </c>
      <c r="AB84" s="1117">
        <v>0.01</v>
      </c>
      <c r="AC84" s="1115">
        <v>0</v>
      </c>
      <c r="AD84" s="1115">
        <v>7.4999999999999997E-3</v>
      </c>
      <c r="AE84" s="1115">
        <v>0</v>
      </c>
      <c r="AF84" s="1117"/>
      <c r="AG84" s="1115"/>
      <c r="AH84" s="1115"/>
      <c r="AI84" s="1115"/>
      <c r="AJ84" s="1115"/>
      <c r="AK84" s="1118"/>
      <c r="AL84" s="1117"/>
      <c r="AM84" s="1115"/>
      <c r="AN84" s="1115"/>
      <c r="AO84" s="1115"/>
      <c r="AP84" s="1115"/>
      <c r="AQ84" s="1118"/>
    </row>
    <row r="85" spans="10:43" ht="20.25" customHeight="1">
      <c r="J85" s="1119">
        <v>8</v>
      </c>
      <c r="K85" s="1120" t="s">
        <v>1135</v>
      </c>
      <c r="L85" s="1121">
        <v>6000</v>
      </c>
      <c r="M85" s="1122">
        <v>1000000</v>
      </c>
      <c r="N85" s="1123">
        <v>1280.5999999999999</v>
      </c>
      <c r="O85" s="1124">
        <v>-0.28570000000000001</v>
      </c>
      <c r="P85" s="1069"/>
      <c r="Q85" s="1069"/>
      <c r="R85" s="1070"/>
      <c r="S85" s="1071"/>
      <c r="T85" s="1071"/>
      <c r="U85" s="1071"/>
      <c r="V85" s="1071"/>
      <c r="W85" s="1071"/>
      <c r="X85" s="1071"/>
      <c r="Y85" s="1071"/>
      <c r="Z85" s="1071"/>
      <c r="AA85" s="1071"/>
      <c r="AB85" s="1072">
        <v>0.02</v>
      </c>
      <c r="AC85" s="1071">
        <v>0</v>
      </c>
      <c r="AD85" s="1071">
        <v>1.4999999999999999E-2</v>
      </c>
      <c r="AE85" s="1071">
        <v>0</v>
      </c>
      <c r="AF85" s="1072"/>
      <c r="AG85" s="1071"/>
      <c r="AH85" s="1071"/>
      <c r="AI85" s="1071"/>
      <c r="AJ85" s="1071"/>
      <c r="AK85" s="1073"/>
      <c r="AL85" s="1072"/>
      <c r="AM85" s="1071"/>
      <c r="AN85" s="1071"/>
      <c r="AO85" s="1071"/>
      <c r="AP85" s="1071"/>
      <c r="AQ85" s="1073"/>
    </row>
    <row r="86" spans="10:43" ht="20.25" customHeight="1">
      <c r="J86" s="1125">
        <v>8</v>
      </c>
      <c r="K86" s="1126" t="s">
        <v>1127</v>
      </c>
      <c r="L86" s="1127">
        <v>6000</v>
      </c>
      <c r="M86" s="1128">
        <v>1000000</v>
      </c>
      <c r="N86" s="1129">
        <v>311.7</v>
      </c>
      <c r="O86" s="1130">
        <v>-0.21859999999999999</v>
      </c>
      <c r="P86" s="1046"/>
      <c r="Q86" s="1046"/>
      <c r="R86" s="1047"/>
      <c r="S86" s="1048"/>
      <c r="T86" s="1048"/>
      <c r="U86" s="1048"/>
      <c r="V86" s="1048"/>
      <c r="W86" s="1048"/>
      <c r="X86" s="1048"/>
      <c r="Y86" s="1048"/>
      <c r="Z86" s="1048"/>
      <c r="AA86" s="1048"/>
      <c r="AB86" s="1049">
        <v>0.02</v>
      </c>
      <c r="AC86" s="1048">
        <v>0</v>
      </c>
      <c r="AD86" s="1048">
        <v>1.4999999999999999E-2</v>
      </c>
      <c r="AE86" s="1048">
        <v>0</v>
      </c>
      <c r="AF86" s="1049"/>
      <c r="AG86" s="1048"/>
      <c r="AH86" s="1048"/>
      <c r="AI86" s="1048"/>
      <c r="AJ86" s="1048"/>
      <c r="AK86" s="1050"/>
      <c r="AL86" s="1049"/>
      <c r="AM86" s="1048"/>
      <c r="AN86" s="1048"/>
      <c r="AO86" s="1048"/>
      <c r="AP86" s="1048"/>
      <c r="AQ86" s="1050"/>
    </row>
    <row r="87" spans="10:43" ht="20.25" customHeight="1">
      <c r="J87" s="1125">
        <v>8</v>
      </c>
      <c r="K87" s="1126" t="s">
        <v>1134</v>
      </c>
      <c r="L87" s="1127">
        <v>6000</v>
      </c>
      <c r="M87" s="1128">
        <v>1000000</v>
      </c>
      <c r="N87" s="1129">
        <v>24.5</v>
      </c>
      <c r="O87" s="1130">
        <v>-7.8100000000000003E-2</v>
      </c>
      <c r="P87" s="1046"/>
      <c r="Q87" s="1046"/>
      <c r="R87" s="1047"/>
      <c r="S87" s="1048"/>
      <c r="T87" s="1048"/>
      <c r="U87" s="1048"/>
      <c r="V87" s="1048"/>
      <c r="W87" s="1048"/>
      <c r="X87" s="1048"/>
      <c r="Y87" s="1048"/>
      <c r="Z87" s="1048"/>
      <c r="AA87" s="1048"/>
      <c r="AB87" s="1049">
        <v>0.02</v>
      </c>
      <c r="AC87" s="1048">
        <v>0</v>
      </c>
      <c r="AD87" s="1048">
        <v>1.4999999999999999E-2</v>
      </c>
      <c r="AE87" s="1048">
        <v>0</v>
      </c>
      <c r="AF87" s="1049"/>
      <c r="AG87" s="1048"/>
      <c r="AH87" s="1048"/>
      <c r="AI87" s="1048"/>
      <c r="AJ87" s="1048"/>
      <c r="AK87" s="1050"/>
      <c r="AL87" s="1049"/>
      <c r="AM87" s="1048"/>
      <c r="AN87" s="1048"/>
      <c r="AO87" s="1048"/>
      <c r="AP87" s="1048"/>
      <c r="AQ87" s="1050"/>
    </row>
    <row r="88" spans="10:43" ht="20.25" customHeight="1">
      <c r="J88" s="1125">
        <v>8</v>
      </c>
      <c r="K88" s="1126" t="s">
        <v>1133</v>
      </c>
      <c r="L88" s="1127">
        <v>10000</v>
      </c>
      <c r="M88" s="1128">
        <v>2000000</v>
      </c>
      <c r="N88" s="1129">
        <v>395.7</v>
      </c>
      <c r="O88" s="1130">
        <v>-0.22309999999999999</v>
      </c>
      <c r="P88" s="1046"/>
      <c r="Q88" s="1046"/>
      <c r="R88" s="1047"/>
      <c r="S88" s="1048"/>
      <c r="T88" s="1048"/>
      <c r="U88" s="1048"/>
      <c r="V88" s="1048"/>
      <c r="W88" s="1048"/>
      <c r="X88" s="1048"/>
      <c r="Y88" s="1048"/>
      <c r="Z88" s="1048"/>
      <c r="AA88" s="1048"/>
      <c r="AB88" s="1049">
        <v>0.02</v>
      </c>
      <c r="AC88" s="1048">
        <v>0</v>
      </c>
      <c r="AD88" s="1048">
        <v>1.4999999999999999E-2</v>
      </c>
      <c r="AE88" s="1048">
        <v>0</v>
      </c>
      <c r="AF88" s="1049"/>
      <c r="AG88" s="1048"/>
      <c r="AH88" s="1048"/>
      <c r="AI88" s="1048"/>
      <c r="AJ88" s="1048"/>
      <c r="AK88" s="1050"/>
      <c r="AL88" s="1049"/>
      <c r="AM88" s="1048"/>
      <c r="AN88" s="1048"/>
      <c r="AO88" s="1048"/>
      <c r="AP88" s="1048"/>
      <c r="AQ88" s="1050"/>
    </row>
    <row r="89" spans="10:43" ht="20.25" customHeight="1">
      <c r="J89" s="1125">
        <v>8</v>
      </c>
      <c r="K89" s="1126" t="s">
        <v>1132</v>
      </c>
      <c r="L89" s="1127">
        <v>6000</v>
      </c>
      <c r="M89" s="1128">
        <v>2000000</v>
      </c>
      <c r="N89" s="1129">
        <v>144.5</v>
      </c>
      <c r="O89" s="1130">
        <v>-0.14510000000000001</v>
      </c>
      <c r="P89" s="1046"/>
      <c r="Q89" s="1046"/>
      <c r="R89" s="1047"/>
      <c r="S89" s="1048"/>
      <c r="T89" s="1048"/>
      <c r="U89" s="1048"/>
      <c r="V89" s="1048"/>
      <c r="W89" s="1048"/>
      <c r="X89" s="1048"/>
      <c r="Y89" s="1048"/>
      <c r="Z89" s="1048"/>
      <c r="AA89" s="1048"/>
      <c r="AB89" s="1049">
        <v>0.02</v>
      </c>
      <c r="AC89" s="1048">
        <v>0</v>
      </c>
      <c r="AD89" s="1048">
        <v>1.4999999999999999E-2</v>
      </c>
      <c r="AE89" s="1048">
        <v>0</v>
      </c>
      <c r="AF89" s="1049"/>
      <c r="AG89" s="1048"/>
      <c r="AH89" s="1048"/>
      <c r="AI89" s="1048"/>
      <c r="AJ89" s="1048"/>
      <c r="AK89" s="1050"/>
      <c r="AL89" s="1049"/>
      <c r="AM89" s="1048"/>
      <c r="AN89" s="1048"/>
      <c r="AO89" s="1048"/>
      <c r="AP89" s="1048"/>
      <c r="AQ89" s="1050"/>
    </row>
    <row r="90" spans="10:43" ht="20.25" customHeight="1" thickBot="1">
      <c r="J90" s="1131">
        <v>8</v>
      </c>
      <c r="K90" s="1132" t="s">
        <v>556</v>
      </c>
      <c r="L90" s="1133">
        <v>6000</v>
      </c>
      <c r="M90" s="1134">
        <v>1000000</v>
      </c>
      <c r="N90" s="1135">
        <v>18.8</v>
      </c>
      <c r="O90" s="1136">
        <v>-5.6500000000000002E-2</v>
      </c>
      <c r="P90" s="1137"/>
      <c r="Q90" s="1137"/>
      <c r="R90" s="1138"/>
      <c r="S90" s="1139"/>
      <c r="T90" s="1139"/>
      <c r="U90" s="1139"/>
      <c r="V90" s="1139"/>
      <c r="W90" s="1139"/>
      <c r="X90" s="1139"/>
      <c r="Y90" s="1139"/>
      <c r="Z90" s="1139"/>
      <c r="AA90" s="1139"/>
      <c r="AB90" s="1140">
        <v>0.02</v>
      </c>
      <c r="AC90" s="1139">
        <v>0</v>
      </c>
      <c r="AD90" s="1139">
        <v>1.4999999999999999E-2</v>
      </c>
      <c r="AE90" s="1139">
        <v>0</v>
      </c>
      <c r="AF90" s="1140"/>
      <c r="AG90" s="1139"/>
      <c r="AH90" s="1139"/>
      <c r="AI90" s="1139"/>
      <c r="AJ90" s="1139"/>
      <c r="AK90" s="1141"/>
      <c r="AL90" s="1140"/>
      <c r="AM90" s="1139"/>
      <c r="AN90" s="1139"/>
      <c r="AO90" s="1139"/>
      <c r="AP90" s="1139"/>
      <c r="AQ90" s="1141"/>
    </row>
    <row r="91" spans="10:43" ht="20.25" customHeight="1">
      <c r="J91" s="4"/>
      <c r="K91" s="4"/>
      <c r="L91" s="4"/>
      <c r="M91" s="4"/>
      <c r="N91" s="4"/>
      <c r="O91" s="4"/>
      <c r="P91" s="4"/>
      <c r="Q91" s="4"/>
      <c r="R91" s="4"/>
      <c r="S91" s="4"/>
      <c r="T91" s="4"/>
      <c r="U91" s="4"/>
      <c r="V91" s="4"/>
      <c r="W91" s="4"/>
    </row>
    <row r="92" spans="10:43" ht="20.25" customHeight="1">
      <c r="O92" s="881"/>
      <c r="P92" s="881"/>
      <c r="Q92" s="881"/>
      <c r="X92" s="3"/>
      <c r="Y92" s="3"/>
      <c r="Z92" s="3"/>
    </row>
    <row r="93" spans="10:43" ht="20.25" customHeight="1">
      <c r="O93" s="881"/>
      <c r="P93" s="881"/>
      <c r="Q93" s="881"/>
      <c r="X93" s="3"/>
      <c r="Y93" s="3"/>
      <c r="Z93" s="3"/>
    </row>
    <row r="94" spans="10:43" ht="20.25" customHeight="1">
      <c r="O94" s="881"/>
      <c r="P94" s="881"/>
      <c r="Q94" s="881"/>
      <c r="X94" s="3"/>
      <c r="Y94" s="3"/>
      <c r="Z94" s="3"/>
    </row>
    <row r="95" spans="10:43" ht="30" customHeight="1">
      <c r="O95" s="881"/>
      <c r="P95" s="881"/>
      <c r="Q95" s="881"/>
      <c r="X95" s="3"/>
      <c r="Y95" s="3"/>
      <c r="Z95" s="3"/>
    </row>
    <row r="96" spans="10:43" ht="30" customHeight="1">
      <c r="O96" s="881"/>
      <c r="P96" s="881"/>
      <c r="Q96" s="881"/>
      <c r="X96" s="3"/>
      <c r="Y96" s="3"/>
      <c r="Z96" s="3"/>
    </row>
    <row r="97" spans="15:26" ht="30" customHeight="1">
      <c r="O97" s="881"/>
      <c r="P97" s="881"/>
      <c r="Q97" s="881"/>
      <c r="X97" s="3"/>
      <c r="Y97" s="3"/>
      <c r="Z97" s="3"/>
    </row>
    <row r="98" spans="15:26" ht="30" customHeight="1">
      <c r="O98" s="881"/>
      <c r="P98" s="881"/>
      <c r="Q98" s="881"/>
      <c r="X98" s="3"/>
      <c r="Y98" s="3"/>
      <c r="Z98" s="3"/>
    </row>
    <row r="99" spans="15:26" ht="30" customHeight="1">
      <c r="O99" s="881"/>
      <c r="P99" s="881"/>
      <c r="Q99" s="881"/>
      <c r="X99" s="3"/>
      <c r="Y99" s="3"/>
      <c r="Z99" s="3"/>
    </row>
    <row r="100" spans="15:26" ht="30" customHeight="1">
      <c r="O100" s="881"/>
      <c r="P100" s="881"/>
      <c r="Q100" s="881"/>
      <c r="X100" s="3"/>
      <c r="Y100" s="3"/>
      <c r="Z100" s="3"/>
    </row>
    <row r="101" spans="15:26" ht="30" customHeight="1">
      <c r="O101" s="881"/>
      <c r="P101" s="881"/>
      <c r="Q101" s="881"/>
      <c r="X101" s="3"/>
      <c r="Y101" s="3"/>
      <c r="Z101" s="3"/>
    </row>
    <row r="102" spans="15:26" ht="30" customHeight="1">
      <c r="O102" s="881"/>
      <c r="P102" s="881"/>
      <c r="Q102" s="881"/>
      <c r="X102" s="3"/>
      <c r="Y102" s="3"/>
      <c r="Z102" s="3"/>
    </row>
    <row r="103" spans="15:26" ht="30" customHeight="1">
      <c r="O103" s="881"/>
      <c r="P103" s="881"/>
      <c r="Q103" s="881"/>
      <c r="X103" s="3"/>
      <c r="Y103" s="3"/>
      <c r="Z103" s="3"/>
    </row>
    <row r="104" spans="15:26" ht="30" customHeight="1">
      <c r="O104" s="881"/>
      <c r="P104" s="881"/>
      <c r="Q104" s="881"/>
      <c r="X104" s="3"/>
      <c r="Y104" s="3"/>
      <c r="Z104" s="3"/>
    </row>
    <row r="105" spans="15:26" ht="30" customHeight="1">
      <c r="O105" s="881"/>
      <c r="P105" s="881"/>
      <c r="Q105" s="881"/>
      <c r="X105" s="3"/>
      <c r="Y105" s="3"/>
      <c r="Z105" s="3"/>
    </row>
    <row r="106" spans="15:26" ht="30" customHeight="1">
      <c r="O106" s="881"/>
      <c r="P106" s="881"/>
      <c r="Q106" s="881"/>
      <c r="X106" s="3"/>
      <c r="Y106" s="3"/>
      <c r="Z106" s="3"/>
    </row>
    <row r="107" spans="15:26" ht="30" customHeight="1">
      <c r="O107" s="881"/>
      <c r="P107" s="881"/>
      <c r="Q107" s="881"/>
      <c r="X107" s="3"/>
      <c r="Y107" s="3"/>
      <c r="Z107" s="3"/>
    </row>
    <row r="108" spans="15:26" ht="30" customHeight="1">
      <c r="O108" s="881"/>
      <c r="P108" s="881"/>
      <c r="Q108" s="881"/>
      <c r="X108" s="3"/>
      <c r="Y108" s="3"/>
      <c r="Z108" s="3"/>
    </row>
    <row r="109" spans="15:26" ht="30" customHeight="1">
      <c r="O109" s="881"/>
      <c r="P109" s="881"/>
      <c r="Q109" s="881"/>
      <c r="X109" s="3"/>
      <c r="Y109" s="3"/>
      <c r="Z109" s="3"/>
    </row>
    <row r="110" spans="15:26" ht="30" customHeight="1">
      <c r="O110" s="881"/>
      <c r="P110" s="881"/>
      <c r="Q110" s="881"/>
      <c r="X110" s="3"/>
      <c r="Y110" s="3"/>
      <c r="Z110" s="3"/>
    </row>
    <row r="111" spans="15:26" ht="30" customHeight="1">
      <c r="O111" s="881"/>
      <c r="P111" s="881"/>
      <c r="Q111" s="881"/>
      <c r="X111" s="3"/>
      <c r="Y111" s="3"/>
      <c r="Z111" s="3"/>
    </row>
    <row r="112" spans="15:26" ht="30" customHeight="1">
      <c r="O112" s="881"/>
      <c r="P112" s="881"/>
      <c r="Q112" s="881"/>
      <c r="X112" s="3"/>
      <c r="Y112" s="3"/>
      <c r="Z112" s="3"/>
    </row>
    <row r="113" spans="15:26" ht="30" customHeight="1">
      <c r="O113" s="881"/>
      <c r="P113" s="881"/>
      <c r="Q113" s="881"/>
      <c r="X113" s="3"/>
      <c r="Y113" s="3"/>
      <c r="Z113" s="3"/>
    </row>
    <row r="114" spans="15:26" ht="30" customHeight="1">
      <c r="O114" s="881"/>
      <c r="P114" s="881"/>
      <c r="Q114" s="881"/>
      <c r="X114" s="3"/>
      <c r="Y114" s="3"/>
      <c r="Z114" s="3"/>
    </row>
    <row r="115" spans="15:26" ht="30" customHeight="1">
      <c r="O115" s="881"/>
      <c r="P115" s="881"/>
      <c r="Q115" s="881"/>
      <c r="X115" s="3"/>
      <c r="Y115" s="3"/>
      <c r="Z115" s="3"/>
    </row>
    <row r="116" spans="15:26" ht="30" customHeight="1">
      <c r="O116" s="881"/>
      <c r="P116" s="881"/>
      <c r="Q116" s="881"/>
      <c r="X116" s="3"/>
      <c r="Y116" s="3"/>
      <c r="Z116" s="3"/>
    </row>
    <row r="117" spans="15:26" ht="30" customHeight="1">
      <c r="O117" s="881"/>
      <c r="P117" s="881"/>
      <c r="Q117" s="881"/>
      <c r="X117" s="3"/>
      <c r="Y117" s="3"/>
      <c r="Z117" s="3"/>
    </row>
    <row r="118" spans="15:26" ht="30" customHeight="1">
      <c r="O118" s="881"/>
      <c r="P118" s="881"/>
      <c r="Q118" s="881"/>
      <c r="X118" s="3"/>
      <c r="Y118" s="3"/>
      <c r="Z118" s="3"/>
    </row>
    <row r="119" spans="15:26" ht="30" customHeight="1">
      <c r="O119" s="881"/>
      <c r="P119" s="881"/>
      <c r="Q119" s="881"/>
      <c r="X119" s="3"/>
      <c r="Y119" s="3"/>
      <c r="Z119" s="3"/>
    </row>
    <row r="120" spans="15:26" ht="30" customHeight="1">
      <c r="O120" s="881"/>
      <c r="P120" s="881"/>
      <c r="Q120" s="881"/>
      <c r="X120" s="3"/>
      <c r="Y120" s="3"/>
      <c r="Z120" s="3"/>
    </row>
    <row r="121" spans="15:26" ht="30" customHeight="1">
      <c r="O121" s="881"/>
      <c r="P121" s="881"/>
      <c r="Q121" s="881"/>
      <c r="X121" s="3"/>
      <c r="Y121" s="3"/>
      <c r="Z121" s="3"/>
    </row>
    <row r="122" spans="15:26" ht="30" customHeight="1">
      <c r="O122" s="881"/>
      <c r="P122" s="881"/>
      <c r="Q122" s="881"/>
      <c r="X122" s="3"/>
      <c r="Y122" s="3"/>
      <c r="Z122" s="3"/>
    </row>
    <row r="123" spans="15:26" ht="30" customHeight="1">
      <c r="O123" s="881"/>
      <c r="P123" s="881"/>
      <c r="Q123" s="881"/>
      <c r="X123" s="3"/>
      <c r="Y123" s="3"/>
      <c r="Z123" s="3"/>
    </row>
    <row r="124" spans="15:26" ht="30" customHeight="1">
      <c r="O124" s="881"/>
      <c r="P124" s="881"/>
      <c r="Q124" s="881"/>
      <c r="X124" s="3"/>
      <c r="Y124" s="3"/>
      <c r="Z124" s="3"/>
    </row>
    <row r="125" spans="15:26" ht="30" customHeight="1">
      <c r="O125" s="881"/>
      <c r="P125" s="881"/>
      <c r="Q125" s="881"/>
      <c r="X125" s="3"/>
      <c r="Y125" s="3"/>
      <c r="Z125" s="3"/>
    </row>
    <row r="126" spans="15:26" ht="30" customHeight="1">
      <c r="O126" s="881"/>
      <c r="P126" s="881"/>
      <c r="Q126" s="881"/>
      <c r="X126" s="3"/>
      <c r="Y126" s="3"/>
      <c r="Z126" s="3"/>
    </row>
    <row r="127" spans="15:26" ht="30" customHeight="1">
      <c r="O127" s="881"/>
      <c r="P127" s="881"/>
      <c r="Q127" s="881"/>
      <c r="X127" s="3"/>
      <c r="Y127" s="3"/>
      <c r="Z127" s="3"/>
    </row>
    <row r="128" spans="15:26" ht="30" customHeight="1">
      <c r="O128" s="881"/>
      <c r="P128" s="881"/>
      <c r="Q128" s="881"/>
      <c r="X128" s="3"/>
      <c r="Y128" s="3"/>
      <c r="Z128" s="3"/>
    </row>
    <row r="129" spans="15:26" ht="30" customHeight="1">
      <c r="O129" s="881"/>
      <c r="P129" s="881"/>
      <c r="Q129" s="881"/>
      <c r="X129" s="3"/>
      <c r="Y129" s="3"/>
      <c r="Z129" s="3"/>
    </row>
    <row r="130" spans="15:26" ht="30" customHeight="1">
      <c r="O130" s="881"/>
      <c r="P130" s="881"/>
      <c r="Q130" s="881"/>
      <c r="X130" s="3"/>
      <c r="Y130" s="3"/>
      <c r="Z130" s="3"/>
    </row>
    <row r="131" spans="15:26" ht="30" customHeight="1">
      <c r="O131" s="881"/>
      <c r="P131" s="881"/>
      <c r="Q131" s="881"/>
      <c r="X131" s="3"/>
      <c r="Y131" s="3"/>
      <c r="Z131" s="3"/>
    </row>
    <row r="132" spans="15:26" ht="30" customHeight="1">
      <c r="O132" s="881"/>
      <c r="P132" s="881"/>
      <c r="Q132" s="881"/>
      <c r="X132" s="3"/>
      <c r="Y132" s="3"/>
      <c r="Z132" s="3"/>
    </row>
    <row r="133" spans="15:26" ht="30" customHeight="1">
      <c r="O133" s="881"/>
      <c r="P133" s="881"/>
      <c r="Q133" s="881"/>
      <c r="X133" s="3"/>
      <c r="Y133" s="3"/>
      <c r="Z133" s="3"/>
    </row>
    <row r="134" spans="15:26" ht="30" customHeight="1">
      <c r="O134" s="881"/>
      <c r="P134" s="881"/>
      <c r="Q134" s="881"/>
      <c r="X134" s="3"/>
      <c r="Y134" s="3"/>
      <c r="Z134" s="3"/>
    </row>
    <row r="135" spans="15:26" ht="30" customHeight="1">
      <c r="O135" s="881"/>
      <c r="P135" s="881"/>
      <c r="Q135" s="881"/>
      <c r="X135" s="3"/>
      <c r="Y135" s="3"/>
      <c r="Z135" s="3"/>
    </row>
    <row r="136" spans="15:26" ht="30" customHeight="1">
      <c r="O136" s="881"/>
      <c r="P136" s="881"/>
      <c r="Q136" s="881"/>
      <c r="X136" s="3"/>
      <c r="Y136" s="3"/>
      <c r="Z136" s="3"/>
    </row>
    <row r="137" spans="15:26" ht="30" customHeight="1">
      <c r="O137" s="881"/>
      <c r="P137" s="881"/>
      <c r="Q137" s="881"/>
      <c r="X137" s="3"/>
      <c r="Y137" s="3"/>
      <c r="Z137" s="3"/>
    </row>
    <row r="138" spans="15:26" ht="30" customHeight="1">
      <c r="O138" s="881"/>
      <c r="P138" s="881"/>
      <c r="Q138" s="881"/>
      <c r="X138" s="3"/>
      <c r="Y138" s="3"/>
      <c r="Z138" s="3"/>
    </row>
    <row r="139" spans="15:26" ht="30" customHeight="1">
      <c r="O139" s="881"/>
      <c r="P139" s="881"/>
      <c r="Q139" s="881"/>
      <c r="X139" s="3"/>
      <c r="Y139" s="3"/>
      <c r="Z139" s="3"/>
    </row>
    <row r="140" spans="15:26" ht="30" customHeight="1">
      <c r="O140" s="881"/>
      <c r="P140" s="881"/>
      <c r="Q140" s="881"/>
      <c r="X140" s="3"/>
      <c r="Y140" s="3"/>
      <c r="Z140" s="3"/>
    </row>
    <row r="141" spans="15:26" ht="30" customHeight="1">
      <c r="O141" s="881"/>
      <c r="P141" s="881"/>
      <c r="Q141" s="881"/>
      <c r="X141" s="3"/>
      <c r="Y141" s="3"/>
      <c r="Z141" s="3"/>
    </row>
    <row r="142" spans="15:26" ht="30" customHeight="1">
      <c r="O142" s="881"/>
      <c r="P142" s="881"/>
      <c r="Q142" s="881"/>
      <c r="X142" s="3"/>
      <c r="Y142" s="3"/>
      <c r="Z142" s="3"/>
    </row>
    <row r="143" spans="15:26" ht="30" customHeight="1">
      <c r="O143" s="881"/>
      <c r="P143" s="881"/>
      <c r="Q143" s="881"/>
      <c r="X143" s="3"/>
      <c r="Y143" s="3"/>
      <c r="Z143" s="3"/>
    </row>
    <row r="144" spans="15:26" ht="30" customHeight="1">
      <c r="O144" s="881"/>
      <c r="P144" s="881"/>
      <c r="Q144" s="881"/>
      <c r="X144" s="3"/>
      <c r="Y144" s="3"/>
      <c r="Z144" s="3"/>
    </row>
    <row r="145" spans="15:26" ht="30" customHeight="1">
      <c r="O145" s="881"/>
      <c r="P145" s="881"/>
      <c r="Q145" s="881"/>
      <c r="X145" s="3"/>
      <c r="Y145" s="3"/>
      <c r="Z145" s="3"/>
    </row>
    <row r="146" spans="15:26" ht="30" customHeight="1">
      <c r="O146" s="881"/>
      <c r="P146" s="881"/>
      <c r="Q146" s="881"/>
      <c r="X146" s="3"/>
      <c r="Y146" s="3"/>
      <c r="Z146" s="3"/>
    </row>
    <row r="147" spans="15:26" ht="30" customHeight="1">
      <c r="O147" s="881"/>
      <c r="P147" s="881"/>
      <c r="Q147" s="881"/>
      <c r="X147" s="3"/>
      <c r="Y147" s="3"/>
      <c r="Z147" s="3"/>
    </row>
    <row r="148" spans="15:26" ht="30" customHeight="1">
      <c r="O148" s="881"/>
      <c r="P148" s="881"/>
      <c r="Q148" s="881"/>
      <c r="X148" s="3"/>
      <c r="Y148" s="3"/>
      <c r="Z148" s="3"/>
    </row>
    <row r="149" spans="15:26" ht="30" customHeight="1">
      <c r="O149" s="881"/>
      <c r="P149" s="881"/>
      <c r="Q149" s="881"/>
      <c r="X149" s="3"/>
      <c r="Y149" s="3"/>
      <c r="Z149" s="3"/>
    </row>
    <row r="150" spans="15:26" ht="30" customHeight="1">
      <c r="O150" s="881"/>
      <c r="P150" s="881"/>
      <c r="Q150" s="881"/>
      <c r="X150" s="3"/>
      <c r="Y150" s="3"/>
      <c r="Z150" s="3"/>
    </row>
    <row r="151" spans="15:26" ht="30" customHeight="1">
      <c r="O151" s="881"/>
      <c r="P151" s="881"/>
      <c r="Q151" s="881"/>
      <c r="X151" s="3"/>
      <c r="Y151" s="3"/>
      <c r="Z151" s="3"/>
    </row>
    <row r="152" spans="15:26" ht="30" customHeight="1">
      <c r="O152" s="881"/>
      <c r="P152" s="881"/>
      <c r="Q152" s="881"/>
      <c r="X152" s="3"/>
      <c r="Y152" s="3"/>
      <c r="Z152" s="3"/>
    </row>
    <row r="153" spans="15:26" ht="30" customHeight="1">
      <c r="O153" s="881"/>
      <c r="P153" s="881"/>
      <c r="Q153" s="881"/>
      <c r="X153" s="3"/>
      <c r="Y153" s="3"/>
      <c r="Z153" s="3"/>
    </row>
    <row r="154" spans="15:26" ht="30" customHeight="1">
      <c r="O154" s="881"/>
      <c r="P154" s="881"/>
      <c r="Q154" s="881"/>
      <c r="X154" s="3"/>
      <c r="Y154" s="3"/>
      <c r="Z154" s="3"/>
    </row>
    <row r="155" spans="15:26" ht="30" customHeight="1">
      <c r="O155" s="881"/>
      <c r="P155" s="881"/>
      <c r="Q155" s="881"/>
      <c r="X155" s="3"/>
      <c r="Y155" s="3"/>
      <c r="Z155" s="3"/>
    </row>
    <row r="156" spans="15:26" ht="30" customHeight="1">
      <c r="O156" s="881"/>
      <c r="P156" s="881"/>
      <c r="Q156" s="881"/>
      <c r="X156" s="3"/>
      <c r="Y156" s="3"/>
      <c r="Z156" s="3"/>
    </row>
    <row r="157" spans="15:26" ht="30" customHeight="1">
      <c r="O157" s="881"/>
      <c r="P157" s="881"/>
      <c r="Q157" s="881"/>
      <c r="X157" s="3"/>
      <c r="Y157" s="3"/>
      <c r="Z157" s="3"/>
    </row>
    <row r="158" spans="15:26" ht="30" customHeight="1">
      <c r="O158" s="881"/>
      <c r="P158" s="881"/>
      <c r="Q158" s="881"/>
      <c r="X158" s="3"/>
      <c r="Y158" s="3"/>
      <c r="Z158" s="3"/>
    </row>
    <row r="159" spans="15:26" ht="30" customHeight="1">
      <c r="O159" s="881"/>
      <c r="P159" s="881"/>
      <c r="Q159" s="881"/>
      <c r="X159" s="3"/>
      <c r="Y159" s="3"/>
      <c r="Z159" s="3"/>
    </row>
    <row r="160" spans="15:26" ht="30" customHeight="1">
      <c r="O160" s="881"/>
      <c r="P160" s="881"/>
      <c r="Q160" s="881"/>
      <c r="X160" s="3"/>
      <c r="Y160" s="3"/>
      <c r="Z160" s="3"/>
    </row>
    <row r="161" spans="15:26" ht="30" customHeight="1">
      <c r="O161" s="881"/>
      <c r="P161" s="881"/>
      <c r="Q161" s="881"/>
      <c r="X161" s="3"/>
      <c r="Y161" s="3"/>
      <c r="Z161" s="3"/>
    </row>
    <row r="162" spans="15:26" ht="30" customHeight="1">
      <c r="O162" s="881"/>
      <c r="P162" s="881"/>
      <c r="Q162" s="881"/>
      <c r="X162" s="3"/>
      <c r="Y162" s="3"/>
      <c r="Z162" s="3"/>
    </row>
    <row r="163" spans="15:26" ht="30" customHeight="1">
      <c r="O163" s="881"/>
      <c r="P163" s="881"/>
      <c r="Q163" s="881"/>
      <c r="X163" s="3"/>
      <c r="Y163" s="3"/>
      <c r="Z163" s="3"/>
    </row>
    <row r="164" spans="15:26" ht="30" customHeight="1">
      <c r="O164" s="881"/>
      <c r="P164" s="881"/>
      <c r="Q164" s="881"/>
      <c r="X164" s="3"/>
      <c r="Y164" s="3"/>
      <c r="Z164" s="3"/>
    </row>
    <row r="165" spans="15:26" ht="30" customHeight="1">
      <c r="O165" s="881"/>
      <c r="P165" s="881"/>
      <c r="Q165" s="881"/>
      <c r="X165" s="3"/>
      <c r="Y165" s="3"/>
      <c r="Z165" s="3"/>
    </row>
    <row r="166" spans="15:26" ht="30" customHeight="1">
      <c r="O166" s="881"/>
      <c r="P166" s="881"/>
      <c r="Q166" s="881"/>
      <c r="X166" s="3"/>
      <c r="Y166" s="3"/>
      <c r="Z166" s="3"/>
    </row>
    <row r="167" spans="15:26" ht="30" customHeight="1">
      <c r="O167" s="881"/>
      <c r="P167" s="881"/>
      <c r="Q167" s="881"/>
      <c r="X167" s="3"/>
      <c r="Y167" s="3"/>
      <c r="Z167" s="3"/>
    </row>
    <row r="168" spans="15:26" ht="30" customHeight="1">
      <c r="O168" s="881"/>
      <c r="P168" s="881"/>
      <c r="Q168" s="881"/>
      <c r="X168" s="3"/>
      <c r="Y168" s="3"/>
      <c r="Z168" s="3"/>
    </row>
    <row r="169" spans="15:26" ht="30" customHeight="1">
      <c r="O169" s="881"/>
      <c r="P169" s="881"/>
      <c r="Q169" s="881"/>
      <c r="X169" s="3"/>
      <c r="Y169" s="3"/>
      <c r="Z169" s="3"/>
    </row>
    <row r="170" spans="15:26" ht="30" customHeight="1">
      <c r="O170" s="881"/>
      <c r="P170" s="881"/>
      <c r="Q170" s="881"/>
      <c r="X170" s="3"/>
      <c r="Y170" s="3"/>
      <c r="Z170" s="3"/>
    </row>
    <row r="171" spans="15:26" ht="30" customHeight="1">
      <c r="O171" s="881"/>
      <c r="P171" s="881"/>
      <c r="Q171" s="881"/>
      <c r="X171" s="3"/>
      <c r="Y171" s="3"/>
      <c r="Z171" s="3"/>
    </row>
    <row r="172" spans="15:26" ht="30" customHeight="1">
      <c r="O172" s="881"/>
      <c r="P172" s="881"/>
      <c r="Q172" s="881"/>
      <c r="X172" s="3"/>
      <c r="Y172" s="3"/>
      <c r="Z172" s="3"/>
    </row>
    <row r="173" spans="15:26" ht="30" customHeight="1">
      <c r="O173" s="881"/>
      <c r="P173" s="881"/>
      <c r="Q173" s="881"/>
      <c r="X173" s="3"/>
      <c r="Y173" s="3"/>
      <c r="Z173" s="3"/>
    </row>
    <row r="174" spans="15:26" ht="30" customHeight="1">
      <c r="O174" s="881"/>
      <c r="P174" s="881"/>
      <c r="Q174" s="881"/>
      <c r="X174" s="3"/>
      <c r="Y174" s="3"/>
      <c r="Z174" s="3"/>
    </row>
    <row r="175" spans="15:26" ht="30" customHeight="1">
      <c r="O175" s="881"/>
      <c r="P175" s="881"/>
      <c r="Q175" s="881"/>
      <c r="X175" s="3"/>
      <c r="Y175" s="3"/>
      <c r="Z175" s="3"/>
    </row>
    <row r="176" spans="15:26" ht="30" customHeight="1">
      <c r="O176" s="881"/>
      <c r="P176" s="881"/>
      <c r="Q176" s="881"/>
      <c r="X176" s="3"/>
      <c r="Y176" s="3"/>
      <c r="Z176" s="3"/>
    </row>
    <row r="177" spans="15:26" ht="30" customHeight="1">
      <c r="O177" s="881"/>
      <c r="P177" s="881"/>
      <c r="Q177" s="881"/>
      <c r="X177" s="3"/>
      <c r="Y177" s="3"/>
      <c r="Z177" s="3"/>
    </row>
    <row r="178" spans="15:26" ht="30" customHeight="1">
      <c r="O178" s="881"/>
      <c r="P178" s="881"/>
      <c r="Q178" s="881"/>
      <c r="X178" s="3"/>
      <c r="Y178" s="3"/>
      <c r="Z178" s="3"/>
    </row>
    <row r="179" spans="15:26" ht="30" customHeight="1">
      <c r="O179" s="881"/>
      <c r="P179" s="881"/>
      <c r="Q179" s="881"/>
      <c r="X179" s="3"/>
      <c r="Y179" s="3"/>
      <c r="Z179" s="3"/>
    </row>
    <row r="180" spans="15:26" ht="30" customHeight="1">
      <c r="O180" s="881"/>
      <c r="P180" s="881"/>
      <c r="Q180" s="881"/>
      <c r="X180" s="3"/>
      <c r="Y180" s="3"/>
      <c r="Z180" s="3"/>
    </row>
    <row r="181" spans="15:26" ht="30" customHeight="1">
      <c r="O181" s="881"/>
      <c r="P181" s="881"/>
      <c r="Q181" s="881"/>
      <c r="X181" s="3"/>
      <c r="Y181" s="3"/>
      <c r="Z181" s="3"/>
    </row>
    <row r="182" spans="15:26" ht="30" customHeight="1">
      <c r="O182" s="881"/>
      <c r="P182" s="881"/>
      <c r="Q182" s="881"/>
      <c r="X182" s="3"/>
      <c r="Y182" s="3"/>
      <c r="Z182" s="3"/>
    </row>
    <row r="183" spans="15:26" ht="30" customHeight="1">
      <c r="O183" s="881"/>
      <c r="P183" s="881"/>
      <c r="Q183" s="881"/>
      <c r="X183" s="3"/>
      <c r="Y183" s="3"/>
      <c r="Z183" s="3"/>
    </row>
    <row r="184" spans="15:26" ht="30" customHeight="1">
      <c r="O184" s="881"/>
      <c r="P184" s="881"/>
      <c r="Q184" s="881"/>
      <c r="X184" s="3"/>
      <c r="Y184" s="3"/>
      <c r="Z184" s="3"/>
    </row>
    <row r="185" spans="15:26" ht="30" customHeight="1">
      <c r="O185" s="881"/>
      <c r="P185" s="881"/>
      <c r="Q185" s="881"/>
      <c r="X185" s="3"/>
      <c r="Y185" s="3"/>
      <c r="Z185" s="3"/>
    </row>
    <row r="186" spans="15:26" ht="30" customHeight="1">
      <c r="O186" s="881"/>
      <c r="P186" s="881"/>
      <c r="Q186" s="881"/>
      <c r="X186" s="3"/>
      <c r="Y186" s="3"/>
      <c r="Z186" s="3"/>
    </row>
    <row r="187" spans="15:26" ht="30" customHeight="1">
      <c r="O187" s="881"/>
      <c r="P187" s="881"/>
      <c r="Q187" s="881"/>
      <c r="X187" s="3"/>
      <c r="Y187" s="3"/>
      <c r="Z187" s="3"/>
    </row>
    <row r="188" spans="15:26" ht="30" customHeight="1">
      <c r="O188" s="881"/>
      <c r="X188" s="3"/>
    </row>
    <row r="189" spans="15:26" ht="30" customHeight="1">
      <c r="O189" s="881"/>
      <c r="X189" s="3"/>
    </row>
    <row r="190" spans="15:26" ht="30" customHeight="1">
      <c r="O190" s="881"/>
      <c r="X190" s="3"/>
    </row>
    <row r="191" spans="15:26" ht="30" customHeight="1">
      <c r="O191" s="881"/>
      <c r="X191" s="3"/>
    </row>
    <row r="192" spans="15:26"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27" customHeight="1"/>
    <row r="309" ht="27" customHeight="1"/>
  </sheetData>
  <phoneticPr fontId="5"/>
  <pageMargins left="0.23622047244094491" right="0.19685039370078741" top="0.98425196850393704" bottom="0.27559055118110237" header="0.51181102362204722" footer="0.19685039370078741"/>
  <pageSetup paperSize="8" scale="35" fitToHeight="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K663"/>
  <sheetViews>
    <sheetView topLeftCell="A579" zoomScale="85" zoomScaleNormal="85" zoomScaleSheetLayoutView="100" workbookViewId="0">
      <selection activeCell="B603" sqref="B603"/>
    </sheetView>
  </sheetViews>
  <sheetFormatPr defaultRowHeight="13.5"/>
  <cols>
    <col min="1" max="1" width="19.5" style="658" customWidth="1"/>
    <col min="2" max="2" width="29.5" style="658" customWidth="1"/>
    <col min="3" max="3" width="22.75" style="658" customWidth="1"/>
    <col min="4" max="16384" width="9" style="698"/>
  </cols>
  <sheetData>
    <row r="1" spans="1:5" ht="14.25">
      <c r="A1" s="657" t="s">
        <v>887</v>
      </c>
      <c r="B1" s="693"/>
      <c r="C1" s="693"/>
    </row>
    <row r="3" spans="1:5">
      <c r="A3" s="694" t="s">
        <v>541</v>
      </c>
      <c r="B3" s="692"/>
      <c r="C3" s="692"/>
      <c r="E3" s="659"/>
    </row>
    <row r="4" spans="1:5">
      <c r="A4" s="664"/>
      <c r="E4" s="659"/>
    </row>
    <row r="5" spans="1:5">
      <c r="A5" s="695" t="s">
        <v>553</v>
      </c>
      <c r="E5" s="659"/>
    </row>
    <row r="6" spans="1:5">
      <c r="A6" s="695" t="s">
        <v>554</v>
      </c>
      <c r="E6" s="659"/>
    </row>
    <row r="7" spans="1:5">
      <c r="A7" s="695" t="s">
        <v>555</v>
      </c>
      <c r="E7" s="659"/>
    </row>
    <row r="8" spans="1:5">
      <c r="A8" s="695" t="s">
        <v>556</v>
      </c>
      <c r="E8" s="659"/>
    </row>
    <row r="9" spans="1:5">
      <c r="A9" s="695" t="s">
        <v>557</v>
      </c>
      <c r="E9" s="659"/>
    </row>
    <row r="10" spans="1:5">
      <c r="A10" s="695" t="s">
        <v>828</v>
      </c>
      <c r="E10" s="659"/>
    </row>
    <row r="11" spans="1:5">
      <c r="A11" s="695" t="s">
        <v>558</v>
      </c>
      <c r="E11" s="659"/>
    </row>
    <row r="12" spans="1:5">
      <c r="A12" s="695" t="s">
        <v>559</v>
      </c>
      <c r="E12" s="659"/>
    </row>
    <row r="13" spans="1:5">
      <c r="A13" s="695" t="s">
        <v>560</v>
      </c>
      <c r="B13" s="660"/>
      <c r="E13" s="659"/>
    </row>
    <row r="14" spans="1:5">
      <c r="A14" s="695" t="s">
        <v>829</v>
      </c>
      <c r="B14" s="660"/>
      <c r="E14" s="659"/>
    </row>
    <row r="15" spans="1:5">
      <c r="A15" s="695" t="s">
        <v>561</v>
      </c>
      <c r="E15" s="661"/>
    </row>
    <row r="16" spans="1:5">
      <c r="A16" s="695" t="s">
        <v>562</v>
      </c>
      <c r="B16" s="660"/>
      <c r="E16" s="659"/>
    </row>
    <row r="17" spans="1:9">
      <c r="A17" s="695" t="s">
        <v>563</v>
      </c>
      <c r="B17" s="660"/>
      <c r="E17" s="659"/>
    </row>
    <row r="18" spans="1:9">
      <c r="A18" s="696" t="s">
        <v>761</v>
      </c>
      <c r="B18" s="660"/>
      <c r="E18" s="659"/>
    </row>
    <row r="19" spans="1:9">
      <c r="A19" s="696" t="s">
        <v>762</v>
      </c>
      <c r="B19" s="660"/>
      <c r="E19" s="659"/>
    </row>
    <row r="20" spans="1:9">
      <c r="A20" s="696" t="s">
        <v>763</v>
      </c>
      <c r="B20" s="660"/>
      <c r="E20" s="659"/>
    </row>
    <row r="21" spans="1:9">
      <c r="A21" s="696" t="s">
        <v>764</v>
      </c>
      <c r="B21" s="660"/>
      <c r="E21" s="659"/>
      <c r="F21" s="662"/>
      <c r="G21" s="662"/>
      <c r="H21" s="662"/>
      <c r="I21" s="662"/>
    </row>
    <row r="22" spans="1:9">
      <c r="A22" s="658" t="s">
        <v>765</v>
      </c>
      <c r="B22" s="660"/>
      <c r="E22" s="659"/>
      <c r="F22" s="662"/>
      <c r="G22" s="662"/>
      <c r="H22" s="662"/>
      <c r="I22" s="662"/>
    </row>
    <row r="23" spans="1:9">
      <c r="A23" s="696" t="s">
        <v>766</v>
      </c>
      <c r="B23" s="660"/>
      <c r="E23" s="659"/>
      <c r="F23" s="662"/>
      <c r="G23" s="662"/>
      <c r="H23" s="662"/>
      <c r="I23" s="662"/>
    </row>
    <row r="24" spans="1:9">
      <c r="A24" s="696" t="s">
        <v>767</v>
      </c>
      <c r="B24" s="660"/>
      <c r="E24" s="659"/>
      <c r="F24" s="662"/>
      <c r="G24" s="662"/>
      <c r="H24" s="662"/>
      <c r="I24" s="662"/>
    </row>
    <row r="25" spans="1:9">
      <c r="A25" s="696" t="s">
        <v>768</v>
      </c>
      <c r="B25" s="660"/>
      <c r="E25" s="659"/>
      <c r="F25" s="662"/>
      <c r="G25" s="662"/>
      <c r="H25" s="662"/>
      <c r="I25" s="662"/>
    </row>
    <row r="26" spans="1:9">
      <c r="A26" s="696" t="s">
        <v>769</v>
      </c>
      <c r="B26" s="660"/>
      <c r="E26" s="659"/>
      <c r="F26" s="662"/>
      <c r="G26" s="662"/>
      <c r="H26" s="662"/>
      <c r="I26" s="662"/>
    </row>
    <row r="27" spans="1:9">
      <c r="A27" s="696" t="s">
        <v>770</v>
      </c>
      <c r="B27" s="660"/>
      <c r="E27" s="659"/>
      <c r="F27" s="662"/>
      <c r="G27" s="662"/>
      <c r="H27" s="662"/>
      <c r="I27" s="662"/>
    </row>
    <row r="28" spans="1:9">
      <c r="A28" s="664" t="s">
        <v>218</v>
      </c>
      <c r="B28" s="660"/>
      <c r="E28" s="659"/>
      <c r="F28" s="662"/>
      <c r="G28" s="662"/>
      <c r="H28" s="662"/>
      <c r="I28" s="662"/>
    </row>
    <row r="29" spans="1:9">
      <c r="A29" s="696" t="s">
        <v>30</v>
      </c>
      <c r="B29" s="660"/>
      <c r="E29" s="659"/>
      <c r="F29" s="662"/>
      <c r="G29" s="662"/>
      <c r="H29" s="662"/>
      <c r="I29" s="662"/>
    </row>
    <row r="30" spans="1:9">
      <c r="A30" s="663"/>
      <c r="E30" s="659"/>
      <c r="F30" s="662"/>
      <c r="G30" s="662"/>
      <c r="H30" s="662"/>
      <c r="I30" s="662"/>
    </row>
    <row r="31" spans="1:9">
      <c r="A31" s="694" t="s">
        <v>542</v>
      </c>
      <c r="B31" s="692"/>
      <c r="C31" s="692"/>
      <c r="E31" s="659"/>
      <c r="F31" s="662"/>
      <c r="G31" s="662"/>
      <c r="H31" s="662"/>
      <c r="I31" s="662"/>
    </row>
    <row r="32" spans="1:9">
      <c r="A32" s="664"/>
      <c r="E32" s="659"/>
      <c r="F32" s="662"/>
      <c r="G32" s="662"/>
      <c r="H32" s="662"/>
      <c r="I32" s="662"/>
    </row>
    <row r="33" spans="1:9">
      <c r="A33" s="664" t="s">
        <v>830</v>
      </c>
      <c r="E33" s="659"/>
      <c r="F33" s="662"/>
      <c r="G33" s="662"/>
      <c r="H33" s="662"/>
      <c r="I33" s="662"/>
    </row>
    <row r="34" spans="1:9">
      <c r="A34" s="664" t="s">
        <v>831</v>
      </c>
      <c r="E34" s="659"/>
      <c r="F34" s="662"/>
      <c r="G34" s="662"/>
      <c r="H34" s="662"/>
      <c r="I34" s="662"/>
    </row>
    <row r="35" spans="1:9">
      <c r="A35" s="664" t="s">
        <v>832</v>
      </c>
      <c r="E35" s="659"/>
      <c r="F35" s="662"/>
      <c r="G35" s="662"/>
      <c r="H35" s="662"/>
      <c r="I35" s="662"/>
    </row>
    <row r="36" spans="1:9">
      <c r="A36" s="664" t="s">
        <v>833</v>
      </c>
      <c r="E36" s="659"/>
      <c r="F36" s="662"/>
      <c r="G36" s="662"/>
      <c r="H36" s="662"/>
      <c r="I36" s="662"/>
    </row>
    <row r="37" spans="1:9">
      <c r="A37" s="664" t="s">
        <v>834</v>
      </c>
      <c r="E37" s="659"/>
      <c r="F37" s="662"/>
      <c r="G37" s="662"/>
      <c r="H37" s="662"/>
      <c r="I37" s="662"/>
    </row>
    <row r="38" spans="1:9">
      <c r="A38" s="664" t="s">
        <v>835</v>
      </c>
      <c r="E38" s="659"/>
      <c r="F38" s="662"/>
      <c r="G38" s="662"/>
      <c r="H38" s="662"/>
      <c r="I38" s="662"/>
    </row>
    <row r="39" spans="1:9">
      <c r="A39" s="664" t="s">
        <v>30</v>
      </c>
      <c r="E39" s="659"/>
      <c r="F39" s="662"/>
      <c r="G39" s="662"/>
      <c r="H39" s="662"/>
      <c r="I39" s="662"/>
    </row>
    <row r="40" spans="1:9">
      <c r="A40" s="663"/>
      <c r="E40" s="659"/>
      <c r="F40" s="662"/>
      <c r="G40" s="662"/>
      <c r="H40" s="662"/>
      <c r="I40" s="662"/>
    </row>
    <row r="41" spans="1:9">
      <c r="A41" s="694" t="s">
        <v>801</v>
      </c>
      <c r="B41" s="692"/>
      <c r="C41" s="692"/>
      <c r="E41" s="659"/>
      <c r="F41" s="662"/>
      <c r="G41" s="662"/>
      <c r="H41" s="662"/>
      <c r="I41" s="662"/>
    </row>
    <row r="42" spans="1:9">
      <c r="A42" s="664"/>
      <c r="E42" s="659"/>
      <c r="F42" s="662"/>
      <c r="G42" s="662"/>
      <c r="H42" s="662"/>
      <c r="I42" s="662"/>
    </row>
    <row r="43" spans="1:9">
      <c r="A43" s="664" t="s">
        <v>234</v>
      </c>
      <c r="E43" s="659"/>
      <c r="F43" s="662"/>
      <c r="G43" s="662"/>
      <c r="H43" s="662"/>
      <c r="I43" s="662"/>
    </row>
    <row r="44" spans="1:9">
      <c r="A44" s="664" t="s">
        <v>545</v>
      </c>
      <c r="E44" s="659"/>
      <c r="F44" s="662"/>
      <c r="G44" s="662"/>
      <c r="H44" s="662"/>
      <c r="I44" s="662"/>
    </row>
    <row r="45" spans="1:9">
      <c r="A45" s="664" t="s">
        <v>235</v>
      </c>
      <c r="E45" s="659"/>
      <c r="F45" s="662"/>
      <c r="G45" s="662"/>
      <c r="H45" s="662"/>
      <c r="I45" s="662"/>
    </row>
    <row r="46" spans="1:9">
      <c r="A46" s="664" t="s">
        <v>836</v>
      </c>
      <c r="E46" s="659"/>
      <c r="F46" s="662"/>
      <c r="G46" s="662"/>
      <c r="H46" s="662"/>
      <c r="I46" s="662"/>
    </row>
    <row r="47" spans="1:9">
      <c r="A47" s="664" t="s">
        <v>837</v>
      </c>
      <c r="E47" s="659"/>
      <c r="F47" s="662"/>
      <c r="G47" s="662"/>
      <c r="H47" s="662"/>
      <c r="I47" s="662"/>
    </row>
    <row r="48" spans="1:9">
      <c r="A48" s="664" t="s">
        <v>30</v>
      </c>
      <c r="E48" s="659"/>
      <c r="F48" s="662"/>
      <c r="G48" s="662"/>
      <c r="H48" s="662"/>
      <c r="I48" s="662"/>
    </row>
    <row r="49" spans="1:9">
      <c r="A49" s="664"/>
      <c r="E49" s="659"/>
      <c r="F49" s="662"/>
      <c r="G49" s="662"/>
      <c r="H49" s="662"/>
      <c r="I49" s="662"/>
    </row>
    <row r="50" spans="1:9">
      <c r="A50" s="694" t="s">
        <v>995</v>
      </c>
      <c r="B50" s="692"/>
      <c r="C50" s="692"/>
      <c r="E50" s="659"/>
      <c r="F50" s="662"/>
      <c r="G50" s="662"/>
      <c r="H50" s="662"/>
      <c r="I50" s="662"/>
    </row>
    <row r="51" spans="1:9">
      <c r="A51" s="664"/>
      <c r="E51" s="659"/>
      <c r="F51" s="662"/>
      <c r="G51" s="662"/>
      <c r="H51" s="662"/>
      <c r="I51" s="662"/>
    </row>
    <row r="52" spans="1:9">
      <c r="A52" s="664" t="s">
        <v>719</v>
      </c>
      <c r="E52" s="659"/>
      <c r="F52" s="662"/>
      <c r="G52" s="662"/>
      <c r="H52" s="662"/>
      <c r="I52" s="662"/>
    </row>
    <row r="53" spans="1:9">
      <c r="A53" s="664" t="s">
        <v>720</v>
      </c>
      <c r="E53" s="659"/>
      <c r="F53" s="662"/>
      <c r="G53" s="662"/>
      <c r="H53" s="662"/>
      <c r="I53" s="662"/>
    </row>
    <row r="54" spans="1:9">
      <c r="A54" s="664" t="s">
        <v>721</v>
      </c>
      <c r="E54" s="659"/>
      <c r="F54" s="662"/>
      <c r="G54" s="662"/>
      <c r="H54" s="662"/>
      <c r="I54" s="662"/>
    </row>
    <row r="55" spans="1:9">
      <c r="A55" s="664" t="s">
        <v>722</v>
      </c>
      <c r="E55" s="659"/>
      <c r="F55" s="662"/>
      <c r="G55" s="662"/>
      <c r="H55" s="662"/>
      <c r="I55" s="662"/>
    </row>
    <row r="56" spans="1:9">
      <c r="A56" s="664" t="s">
        <v>701</v>
      </c>
      <c r="E56" s="659"/>
      <c r="F56" s="662"/>
      <c r="G56" s="662"/>
      <c r="H56" s="662"/>
      <c r="I56" s="662"/>
    </row>
    <row r="57" spans="1:9">
      <c r="A57" s="663"/>
      <c r="E57" s="659"/>
      <c r="F57" s="662"/>
      <c r="G57" s="662"/>
      <c r="H57" s="662"/>
      <c r="I57" s="662"/>
    </row>
    <row r="58" spans="1:9">
      <c r="A58" s="694" t="s">
        <v>261</v>
      </c>
      <c r="B58" s="692"/>
      <c r="C58" s="692"/>
      <c r="E58" s="659"/>
      <c r="F58" s="662"/>
      <c r="G58" s="662"/>
      <c r="H58" s="662"/>
      <c r="I58" s="662"/>
    </row>
    <row r="59" spans="1:9">
      <c r="A59" s="664"/>
      <c r="E59" s="659"/>
      <c r="F59" s="662"/>
      <c r="G59" s="662"/>
      <c r="H59" s="662"/>
      <c r="I59" s="662"/>
    </row>
    <row r="60" spans="1:9">
      <c r="A60" s="664" t="s">
        <v>751</v>
      </c>
      <c r="E60" s="659"/>
      <c r="F60" s="662"/>
      <c r="G60" s="662"/>
      <c r="H60" s="662"/>
      <c r="I60" s="662"/>
    </row>
    <row r="61" spans="1:9">
      <c r="A61" s="664" t="s">
        <v>752</v>
      </c>
      <c r="B61" s="664"/>
      <c r="E61" s="659"/>
      <c r="F61" s="662"/>
      <c r="G61" s="662"/>
      <c r="H61" s="662"/>
      <c r="I61" s="662"/>
    </row>
    <row r="62" spans="1:9">
      <c r="A62" s="664" t="s">
        <v>753</v>
      </c>
      <c r="B62" s="664"/>
      <c r="E62" s="659"/>
      <c r="F62" s="662"/>
      <c r="G62" s="662"/>
      <c r="H62" s="662"/>
      <c r="I62" s="662"/>
    </row>
    <row r="63" spans="1:9">
      <c r="A63" s="664" t="s">
        <v>256</v>
      </c>
      <c r="B63" s="664"/>
      <c r="E63" s="659"/>
      <c r="F63" s="662"/>
      <c r="G63" s="662"/>
      <c r="H63" s="662"/>
      <c r="I63" s="662"/>
    </row>
    <row r="64" spans="1:9">
      <c r="A64" s="664" t="s">
        <v>257</v>
      </c>
      <c r="B64" s="664"/>
      <c r="E64" s="659"/>
      <c r="F64" s="662"/>
      <c r="G64" s="662"/>
      <c r="H64" s="662"/>
      <c r="I64" s="662"/>
    </row>
    <row r="65" spans="1:9">
      <c r="A65" s="664" t="s">
        <v>258</v>
      </c>
      <c r="E65" s="659"/>
      <c r="F65" s="662"/>
      <c r="G65" s="662"/>
      <c r="H65" s="662"/>
      <c r="I65" s="662"/>
    </row>
    <row r="66" spans="1:9">
      <c r="A66" s="664" t="s">
        <v>260</v>
      </c>
      <c r="E66" s="659"/>
      <c r="F66" s="662"/>
      <c r="G66" s="662"/>
      <c r="H66" s="662"/>
      <c r="I66" s="662"/>
    </row>
    <row r="67" spans="1:9">
      <c r="A67" s="664" t="s">
        <v>259</v>
      </c>
      <c r="E67" s="659"/>
      <c r="F67" s="662"/>
      <c r="G67" s="662"/>
      <c r="H67" s="662"/>
      <c r="I67" s="662"/>
    </row>
    <row r="68" spans="1:9">
      <c r="A68" s="664" t="s">
        <v>262</v>
      </c>
      <c r="B68" s="660"/>
      <c r="E68" s="659"/>
      <c r="F68" s="662"/>
      <c r="G68" s="662"/>
      <c r="H68" s="662"/>
      <c r="I68" s="662"/>
    </row>
    <row r="69" spans="1:9">
      <c r="A69" s="664"/>
      <c r="E69" s="659"/>
      <c r="F69" s="662"/>
      <c r="G69" s="662"/>
      <c r="H69" s="662"/>
      <c r="I69" s="662"/>
    </row>
    <row r="70" spans="1:9">
      <c r="A70" s="694" t="s">
        <v>543</v>
      </c>
      <c r="B70" s="692"/>
      <c r="C70" s="692"/>
      <c r="E70" s="659"/>
      <c r="F70" s="662"/>
      <c r="G70" s="662"/>
      <c r="H70" s="662"/>
      <c r="I70" s="662"/>
    </row>
    <row r="71" spans="1:9">
      <c r="A71" s="664" t="s">
        <v>782</v>
      </c>
      <c r="B71" s="664"/>
      <c r="E71" s="659"/>
      <c r="F71" s="662"/>
      <c r="G71" s="662"/>
      <c r="H71" s="662"/>
      <c r="I71" s="662"/>
    </row>
    <row r="72" spans="1:9">
      <c r="A72" s="697"/>
      <c r="B72" s="664" t="s">
        <v>91</v>
      </c>
      <c r="E72" s="659"/>
      <c r="F72" s="662"/>
      <c r="G72" s="662"/>
      <c r="H72" s="662"/>
      <c r="I72" s="662"/>
    </row>
    <row r="73" spans="1:9">
      <c r="A73" s="697"/>
      <c r="B73" s="664" t="s">
        <v>92</v>
      </c>
      <c r="E73" s="659"/>
      <c r="F73" s="662"/>
      <c r="G73" s="662"/>
      <c r="H73" s="662"/>
      <c r="I73" s="662"/>
    </row>
    <row r="74" spans="1:9">
      <c r="A74" s="697"/>
      <c r="B74" s="664" t="s">
        <v>93</v>
      </c>
      <c r="E74" s="659"/>
      <c r="F74" s="662"/>
      <c r="G74" s="662"/>
      <c r="H74" s="662"/>
      <c r="I74" s="662"/>
    </row>
    <row r="75" spans="1:9">
      <c r="A75" s="697"/>
      <c r="B75" s="664" t="s">
        <v>94</v>
      </c>
      <c r="E75" s="659"/>
      <c r="F75" s="662"/>
      <c r="G75" s="662"/>
      <c r="H75" s="662"/>
      <c r="I75" s="662"/>
    </row>
    <row r="76" spans="1:9">
      <c r="A76" s="697"/>
      <c r="B76" s="664" t="s">
        <v>95</v>
      </c>
      <c r="E76" s="659"/>
      <c r="F76" s="662"/>
      <c r="G76" s="662"/>
      <c r="H76" s="662"/>
      <c r="I76" s="662"/>
    </row>
    <row r="77" spans="1:9">
      <c r="A77" s="697"/>
      <c r="B77" s="664" t="s">
        <v>96</v>
      </c>
      <c r="E77" s="659"/>
      <c r="F77" s="662"/>
      <c r="G77" s="662"/>
      <c r="H77" s="662"/>
      <c r="I77" s="662"/>
    </row>
    <row r="78" spans="1:9">
      <c r="A78" s="697"/>
      <c r="B78" s="664" t="s">
        <v>97</v>
      </c>
      <c r="E78" s="659"/>
      <c r="F78" s="662"/>
      <c r="G78" s="662"/>
      <c r="H78" s="662"/>
      <c r="I78" s="662"/>
    </row>
    <row r="79" spans="1:9">
      <c r="A79" s="697"/>
      <c r="B79" s="664" t="s">
        <v>98</v>
      </c>
      <c r="E79" s="659"/>
      <c r="F79" s="662"/>
      <c r="G79" s="662"/>
      <c r="H79" s="662"/>
      <c r="I79" s="662"/>
    </row>
    <row r="80" spans="1:9">
      <c r="A80" s="697"/>
      <c r="B80" s="664" t="s">
        <v>99</v>
      </c>
      <c r="E80" s="659"/>
      <c r="F80" s="662"/>
      <c r="G80" s="662"/>
      <c r="H80" s="662"/>
      <c r="I80" s="662"/>
    </row>
    <row r="81" spans="1:9">
      <c r="A81" s="664"/>
      <c r="B81" s="664" t="s">
        <v>100</v>
      </c>
      <c r="E81" s="665"/>
      <c r="F81" s="662"/>
      <c r="G81" s="662"/>
      <c r="H81" s="662"/>
      <c r="I81" s="662"/>
    </row>
    <row r="82" spans="1:9">
      <c r="A82" s="664"/>
      <c r="B82" s="664" t="s">
        <v>90</v>
      </c>
      <c r="E82" s="665"/>
      <c r="F82" s="662"/>
      <c r="G82" s="662"/>
      <c r="H82" s="662"/>
      <c r="I82" s="662"/>
    </row>
    <row r="83" spans="1:9">
      <c r="A83" s="664"/>
      <c r="B83" s="664"/>
      <c r="E83" s="665"/>
      <c r="F83" s="662"/>
      <c r="G83" s="662"/>
      <c r="H83" s="662"/>
      <c r="I83" s="662"/>
    </row>
    <row r="84" spans="1:9">
      <c r="A84" s="694" t="s">
        <v>679</v>
      </c>
      <c r="B84" s="692"/>
      <c r="C84" s="692"/>
      <c r="E84" s="659"/>
      <c r="F84" s="662"/>
      <c r="G84" s="662"/>
      <c r="H84" s="662"/>
      <c r="I84" s="662"/>
    </row>
    <row r="85" spans="1:9">
      <c r="E85" s="661"/>
      <c r="F85" s="662"/>
      <c r="G85" s="662"/>
      <c r="H85" s="662"/>
      <c r="I85" s="662"/>
    </row>
    <row r="86" spans="1:9">
      <c r="A86" s="658" t="s">
        <v>867</v>
      </c>
      <c r="E86" s="665"/>
      <c r="F86" s="662"/>
      <c r="G86" s="662"/>
      <c r="H86" s="662"/>
      <c r="I86" s="662"/>
    </row>
    <row r="87" spans="1:9">
      <c r="A87" s="658" t="s">
        <v>870</v>
      </c>
      <c r="E87" s="665"/>
      <c r="F87" s="662"/>
      <c r="G87" s="662"/>
      <c r="H87" s="662"/>
      <c r="I87" s="662"/>
    </row>
    <row r="88" spans="1:9">
      <c r="E88" s="665"/>
      <c r="F88" s="662"/>
      <c r="G88" s="662"/>
      <c r="H88" s="662"/>
      <c r="I88" s="662"/>
    </row>
    <row r="89" spans="1:9">
      <c r="A89" s="694" t="s">
        <v>680</v>
      </c>
      <c r="B89" s="692"/>
      <c r="C89" s="692"/>
      <c r="E89" s="665"/>
      <c r="F89" s="662"/>
      <c r="G89" s="662"/>
      <c r="H89" s="662"/>
      <c r="I89" s="662"/>
    </row>
    <row r="90" spans="1:9">
      <c r="E90" s="665"/>
      <c r="F90" s="662"/>
      <c r="G90" s="662"/>
      <c r="H90" s="662"/>
      <c r="I90" s="662"/>
    </row>
    <row r="91" spans="1:9">
      <c r="A91" s="658" t="s">
        <v>681</v>
      </c>
      <c r="E91" s="659"/>
      <c r="F91" s="662"/>
      <c r="G91" s="662"/>
      <c r="H91" s="662"/>
      <c r="I91" s="662"/>
    </row>
    <row r="92" spans="1:9">
      <c r="A92" s="658" t="s">
        <v>686</v>
      </c>
      <c r="E92" s="661"/>
      <c r="F92" s="662"/>
      <c r="G92" s="662"/>
      <c r="H92" s="662"/>
      <c r="I92" s="662"/>
    </row>
    <row r="93" spans="1:9">
      <c r="A93" s="658" t="s">
        <v>687</v>
      </c>
      <c r="D93" s="661"/>
      <c r="E93" s="659"/>
      <c r="F93" s="662"/>
      <c r="G93" s="662"/>
      <c r="H93" s="662"/>
      <c r="I93" s="662"/>
    </row>
    <row r="94" spans="1:9">
      <c r="A94" s="658" t="s">
        <v>682</v>
      </c>
      <c r="D94" s="661"/>
      <c r="E94" s="659"/>
      <c r="F94" s="662"/>
      <c r="G94" s="662"/>
      <c r="H94" s="662"/>
      <c r="I94" s="662"/>
    </row>
    <row r="95" spans="1:9">
      <c r="A95" s="658" t="s">
        <v>838</v>
      </c>
      <c r="D95" s="661"/>
      <c r="E95" s="659"/>
      <c r="F95" s="662"/>
      <c r="G95" s="662"/>
      <c r="H95" s="662"/>
      <c r="I95" s="662"/>
    </row>
    <row r="96" spans="1:9">
      <c r="D96" s="661"/>
      <c r="E96" s="659"/>
      <c r="F96" s="662"/>
      <c r="G96" s="662"/>
      <c r="H96" s="662"/>
      <c r="I96" s="662"/>
    </row>
    <row r="97" spans="1:9">
      <c r="A97" s="694" t="s">
        <v>544</v>
      </c>
      <c r="B97" s="692"/>
      <c r="C97" s="692"/>
      <c r="D97" s="661"/>
      <c r="E97" s="661"/>
      <c r="F97" s="659"/>
      <c r="G97" s="662"/>
      <c r="H97" s="662"/>
      <c r="I97" s="662"/>
    </row>
    <row r="98" spans="1:9">
      <c r="A98" s="664"/>
      <c r="B98" s="664"/>
      <c r="C98" s="664"/>
      <c r="D98" s="661"/>
      <c r="E98" s="661"/>
      <c r="F98" s="659"/>
      <c r="G98" s="662"/>
      <c r="H98" s="662"/>
      <c r="I98" s="662"/>
    </row>
    <row r="99" spans="1:9">
      <c r="A99" s="664" t="s">
        <v>683</v>
      </c>
      <c r="B99" s="664"/>
      <c r="C99" s="664"/>
      <c r="D99" s="661"/>
      <c r="E99" s="661"/>
      <c r="F99" s="659"/>
      <c r="G99" s="662"/>
      <c r="H99" s="662"/>
      <c r="I99" s="662"/>
    </row>
    <row r="100" spans="1:9">
      <c r="A100" s="664" t="s">
        <v>684</v>
      </c>
      <c r="B100" s="664"/>
      <c r="C100" s="664"/>
      <c r="D100" s="661"/>
      <c r="E100" s="661"/>
      <c r="F100" s="659"/>
      <c r="G100" s="662"/>
      <c r="H100" s="662"/>
      <c r="I100" s="662"/>
    </row>
    <row r="101" spans="1:9">
      <c r="A101" s="664" t="s">
        <v>685</v>
      </c>
      <c r="B101" s="664"/>
      <c r="C101" s="664"/>
    </row>
    <row r="102" spans="1:9">
      <c r="A102" s="664"/>
      <c r="B102" s="664"/>
      <c r="C102" s="664"/>
    </row>
    <row r="103" spans="1:9">
      <c r="A103" s="694" t="s">
        <v>1014</v>
      </c>
      <c r="B103" s="692"/>
      <c r="C103" s="692"/>
    </row>
    <row r="104" spans="1:9">
      <c r="A104" s="664"/>
      <c r="B104" s="664"/>
      <c r="C104" s="795"/>
    </row>
    <row r="105" spans="1:9">
      <c r="A105" s="664" t="s">
        <v>1015</v>
      </c>
      <c r="B105" s="664"/>
      <c r="C105" s="795"/>
    </row>
    <row r="106" spans="1:9">
      <c r="A106" s="664" t="s">
        <v>1016</v>
      </c>
      <c r="B106" s="664"/>
      <c r="C106" s="795"/>
    </row>
    <row r="107" spans="1:9">
      <c r="A107" s="664"/>
    </row>
    <row r="108" spans="1:9" ht="14.25">
      <c r="A108" s="657" t="s">
        <v>816</v>
      </c>
      <c r="B108" s="693"/>
      <c r="C108" s="693"/>
    </row>
    <row r="110" spans="1:9">
      <c r="A110" s="694" t="s">
        <v>297</v>
      </c>
      <c r="B110" s="692"/>
      <c r="C110" s="692"/>
    </row>
    <row r="112" spans="1:9">
      <c r="A112" s="658" t="s">
        <v>884</v>
      </c>
    </row>
    <row r="113" spans="1:4">
      <c r="A113" s="658" t="s">
        <v>885</v>
      </c>
    </row>
    <row r="114" spans="1:4">
      <c r="A114" s="658" t="s">
        <v>665</v>
      </c>
    </row>
    <row r="115" spans="1:4">
      <c r="A115" s="658" t="s">
        <v>247</v>
      </c>
    </row>
    <row r="118" spans="1:4">
      <c r="A118" s="694" t="s">
        <v>546</v>
      </c>
      <c r="B118" s="692"/>
      <c r="C118" s="692"/>
    </row>
    <row r="119" spans="1:4">
      <c r="B119" s="663"/>
    </row>
    <row r="120" spans="1:4">
      <c r="A120" s="663" t="s">
        <v>1018</v>
      </c>
      <c r="B120" s="663">
        <v>321</v>
      </c>
    </row>
    <row r="121" spans="1:4">
      <c r="A121" s="663" t="s">
        <v>1019</v>
      </c>
      <c r="B121" s="663">
        <v>322</v>
      </c>
    </row>
    <row r="122" spans="1:4">
      <c r="A122" s="663" t="s">
        <v>1436</v>
      </c>
      <c r="B122" s="663">
        <v>371</v>
      </c>
    </row>
    <row r="123" spans="1:4">
      <c r="A123" s="663" t="s">
        <v>1437</v>
      </c>
      <c r="B123" s="663">
        <v>372</v>
      </c>
    </row>
    <row r="124" spans="1:4">
      <c r="A124" s="663" t="s">
        <v>1017</v>
      </c>
      <c r="B124" s="663">
        <v>341</v>
      </c>
    </row>
    <row r="125" spans="1:4">
      <c r="A125" s="663" t="s">
        <v>1020</v>
      </c>
      <c r="B125" s="663">
        <v>351</v>
      </c>
    </row>
    <row r="126" spans="1:4">
      <c r="A126" s="663"/>
      <c r="B126" s="663"/>
      <c r="D126" s="662"/>
    </row>
    <row r="127" spans="1:4">
      <c r="A127" s="694" t="s">
        <v>746</v>
      </c>
      <c r="B127" s="692"/>
      <c r="C127" s="692"/>
      <c r="D127" s="662"/>
    </row>
    <row r="128" spans="1:4">
      <c r="D128" s="662"/>
    </row>
    <row r="129" spans="1:9">
      <c r="A129" s="55" t="s">
        <v>689</v>
      </c>
      <c r="D129" s="662"/>
    </row>
    <row r="130" spans="1:9">
      <c r="A130" s="55" t="s">
        <v>690</v>
      </c>
      <c r="D130" s="662"/>
    </row>
    <row r="131" spans="1:9">
      <c r="A131" s="55" t="s">
        <v>106</v>
      </c>
      <c r="D131" s="661"/>
    </row>
    <row r="132" spans="1:9">
      <c r="A132" s="55" t="s">
        <v>741</v>
      </c>
      <c r="D132" s="661"/>
    </row>
    <row r="133" spans="1:9">
      <c r="A133" s="55" t="s">
        <v>1021</v>
      </c>
      <c r="D133" s="661"/>
      <c r="I133" s="796"/>
    </row>
    <row r="134" spans="1:9">
      <c r="A134" s="55" t="s">
        <v>1022</v>
      </c>
      <c r="D134" s="661"/>
      <c r="I134" s="796"/>
    </row>
    <row r="135" spans="1:9">
      <c r="D135" s="661"/>
    </row>
    <row r="136" spans="1:9">
      <c r="A136" s="694" t="s">
        <v>1654</v>
      </c>
      <c r="B136" s="692"/>
      <c r="C136" s="692"/>
      <c r="D136" s="661"/>
    </row>
    <row r="137" spans="1:9">
      <c r="A137" s="698"/>
      <c r="D137" s="661"/>
    </row>
    <row r="138" spans="1:9">
      <c r="A138" s="1246" t="s">
        <v>1912</v>
      </c>
      <c r="D138" s="661"/>
    </row>
    <row r="139" spans="1:9">
      <c r="A139" s="1246" t="s">
        <v>1913</v>
      </c>
      <c r="D139" s="661"/>
    </row>
    <row r="140" spans="1:9">
      <c r="A140" s="1246" t="s">
        <v>1914</v>
      </c>
      <c r="D140" s="661"/>
    </row>
    <row r="141" spans="1:9">
      <c r="D141" s="661"/>
    </row>
    <row r="142" spans="1:9">
      <c r="A142" s="694" t="s">
        <v>1466</v>
      </c>
      <c r="B142" s="692"/>
      <c r="C142" s="692"/>
      <c r="D142" s="661"/>
    </row>
    <row r="143" spans="1:9">
      <c r="D143" s="661"/>
    </row>
    <row r="144" spans="1:9">
      <c r="A144" s="658" t="s">
        <v>1464</v>
      </c>
    </row>
    <row r="145" spans="1:6">
      <c r="A145" s="658" t="s">
        <v>1465</v>
      </c>
    </row>
    <row r="147" spans="1:6">
      <c r="A147" s="694" t="s">
        <v>1472</v>
      </c>
      <c r="B147" s="692"/>
      <c r="C147" s="692"/>
    </row>
    <row r="148" spans="1:6">
      <c r="A148" s="658" t="s">
        <v>5284</v>
      </c>
      <c r="B148" s="658" t="s">
        <v>5285</v>
      </c>
      <c r="C148" s="658" t="s">
        <v>5286</v>
      </c>
      <c r="D148" s="658" t="s">
        <v>5287</v>
      </c>
      <c r="E148" s="658" t="s">
        <v>5288</v>
      </c>
      <c r="F148" s="658" t="s">
        <v>5289</v>
      </c>
    </row>
    <row r="149" spans="1:6">
      <c r="A149" s="658" t="s">
        <v>5395</v>
      </c>
      <c r="B149" s="658" t="s">
        <v>5395</v>
      </c>
      <c r="C149" s="658" t="s">
        <v>5395</v>
      </c>
      <c r="D149" s="658" t="s">
        <v>5395</v>
      </c>
      <c r="E149" s="658" t="s">
        <v>5394</v>
      </c>
      <c r="F149" s="658" t="s">
        <v>5394</v>
      </c>
    </row>
    <row r="150" spans="1:6">
      <c r="A150" s="658" t="s">
        <v>1664</v>
      </c>
      <c r="B150" s="658" t="s">
        <v>1664</v>
      </c>
      <c r="C150" s="658" t="s">
        <v>1664</v>
      </c>
      <c r="D150" s="658" t="s">
        <v>1664</v>
      </c>
      <c r="E150" s="658" t="s">
        <v>5390</v>
      </c>
      <c r="F150" s="658" t="s">
        <v>5390</v>
      </c>
    </row>
    <row r="151" spans="1:6">
      <c r="A151" s="658" t="s">
        <v>1665</v>
      </c>
      <c r="B151" s="658" t="s">
        <v>1665</v>
      </c>
      <c r="C151" s="658" t="s">
        <v>1665</v>
      </c>
      <c r="D151" s="658" t="s">
        <v>1665</v>
      </c>
      <c r="E151" s="658" t="s">
        <v>5391</v>
      </c>
      <c r="F151" s="658" t="s">
        <v>5391</v>
      </c>
    </row>
    <row r="152" spans="1:6">
      <c r="A152" s="658" t="s">
        <v>1791</v>
      </c>
      <c r="B152" s="658" t="s">
        <v>1791</v>
      </c>
      <c r="C152" s="658" t="s">
        <v>1791</v>
      </c>
      <c r="D152" s="658" t="s">
        <v>1791</v>
      </c>
      <c r="E152" s="658" t="s">
        <v>5392</v>
      </c>
      <c r="F152" s="658" t="s">
        <v>5392</v>
      </c>
    </row>
    <row r="153" spans="1:6">
      <c r="A153" s="658" t="s">
        <v>1666</v>
      </c>
      <c r="B153" s="658" t="s">
        <v>1666</v>
      </c>
      <c r="C153" s="658" t="s">
        <v>1666</v>
      </c>
      <c r="D153" s="658" t="s">
        <v>1666</v>
      </c>
      <c r="E153" s="658" t="s">
        <v>5393</v>
      </c>
      <c r="F153" s="658" t="s">
        <v>5393</v>
      </c>
    </row>
    <row r="154" spans="1:6">
      <c r="A154" s="658" t="s">
        <v>1667</v>
      </c>
      <c r="B154" s="658" t="s">
        <v>1667</v>
      </c>
      <c r="C154" s="658" t="s">
        <v>1667</v>
      </c>
      <c r="D154" s="658" t="s">
        <v>1667</v>
      </c>
    </row>
    <row r="155" spans="1:6">
      <c r="A155" s="658" t="s">
        <v>1668</v>
      </c>
      <c r="B155" s="658" t="s">
        <v>1668</v>
      </c>
      <c r="C155" s="658" t="s">
        <v>1668</v>
      </c>
      <c r="D155" s="658" t="s">
        <v>1668</v>
      </c>
    </row>
    <row r="157" spans="1:6">
      <c r="A157" s="694" t="s">
        <v>1475</v>
      </c>
      <c r="B157" s="692"/>
      <c r="C157" s="692"/>
    </row>
    <row r="158" spans="1:6">
      <c r="A158" s="658" t="s">
        <v>5284</v>
      </c>
      <c r="B158" s="658" t="s">
        <v>5285</v>
      </c>
      <c r="C158" s="658" t="s">
        <v>5286</v>
      </c>
      <c r="D158" s="658" t="s">
        <v>5287</v>
      </c>
      <c r="E158" s="658" t="s">
        <v>5288</v>
      </c>
      <c r="F158" s="658" t="s">
        <v>5289</v>
      </c>
    </row>
    <row r="159" spans="1:6">
      <c r="A159" s="658" t="s">
        <v>5396</v>
      </c>
      <c r="B159" s="658" t="s">
        <v>5396</v>
      </c>
      <c r="C159" s="658" t="s">
        <v>5396</v>
      </c>
      <c r="D159" s="658" t="s">
        <v>5396</v>
      </c>
      <c r="E159" s="658" t="s">
        <v>5397</v>
      </c>
      <c r="F159" s="658" t="s">
        <v>5397</v>
      </c>
    </row>
    <row r="160" spans="1:6">
      <c r="A160" s="658" t="s">
        <v>1669</v>
      </c>
      <c r="B160" s="658" t="s">
        <v>1669</v>
      </c>
      <c r="C160" s="658" t="s">
        <v>1669</v>
      </c>
      <c r="D160" s="658" t="s">
        <v>1669</v>
      </c>
      <c r="E160" s="658" t="s">
        <v>5398</v>
      </c>
      <c r="F160" s="658" t="s">
        <v>5398</v>
      </c>
    </row>
    <row r="161" spans="1:6">
      <c r="A161" s="658" t="s">
        <v>1670</v>
      </c>
      <c r="B161" s="658" t="s">
        <v>1670</v>
      </c>
      <c r="C161" s="658" t="s">
        <v>1670</v>
      </c>
      <c r="D161" s="658" t="s">
        <v>1670</v>
      </c>
      <c r="E161" s="658" t="s">
        <v>5399</v>
      </c>
      <c r="F161" s="658" t="s">
        <v>5399</v>
      </c>
    </row>
    <row r="162" spans="1:6">
      <c r="A162" s="658" t="s">
        <v>1671</v>
      </c>
      <c r="B162" s="658" t="s">
        <v>1671</v>
      </c>
      <c r="C162" s="658" t="s">
        <v>1671</v>
      </c>
      <c r="D162" s="658" t="s">
        <v>1671</v>
      </c>
      <c r="E162" s="658" t="s">
        <v>5400</v>
      </c>
      <c r="F162" s="658" t="s">
        <v>5400</v>
      </c>
    </row>
    <row r="163" spans="1:6">
      <c r="A163" s="658" t="s">
        <v>1672</v>
      </c>
      <c r="B163" s="658" t="s">
        <v>1672</v>
      </c>
      <c r="C163" s="658" t="s">
        <v>1672</v>
      </c>
      <c r="D163" s="658" t="s">
        <v>1672</v>
      </c>
      <c r="E163" s="658" t="s">
        <v>5393</v>
      </c>
      <c r="F163" s="658" t="s">
        <v>5393</v>
      </c>
    </row>
    <row r="164" spans="1:6">
      <c r="A164" s="658" t="s">
        <v>1673</v>
      </c>
      <c r="B164" s="658" t="s">
        <v>1673</v>
      </c>
      <c r="C164" s="658" t="s">
        <v>1673</v>
      </c>
      <c r="D164" s="658" t="s">
        <v>1673</v>
      </c>
    </row>
    <row r="165" spans="1:6">
      <c r="A165" s="658" t="s">
        <v>1668</v>
      </c>
      <c r="B165" s="658" t="s">
        <v>1668</v>
      </c>
      <c r="C165" s="658" t="s">
        <v>1668</v>
      </c>
      <c r="D165" s="658" t="s">
        <v>1668</v>
      </c>
    </row>
    <row r="168" spans="1:6">
      <c r="D168" s="658"/>
    </row>
    <row r="169" spans="1:6">
      <c r="A169" s="658" t="s">
        <v>5390</v>
      </c>
      <c r="B169" s="658" t="s">
        <v>5398</v>
      </c>
    </row>
    <row r="170" spans="1:6">
      <c r="A170" s="658" t="s">
        <v>5391</v>
      </c>
      <c r="B170" s="658" t="s">
        <v>5399</v>
      </c>
    </row>
    <row r="171" spans="1:6">
      <c r="A171" s="658" t="s">
        <v>5392</v>
      </c>
      <c r="B171" s="658" t="s">
        <v>5400</v>
      </c>
    </row>
    <row r="172" spans="1:6">
      <c r="A172" s="658" t="s">
        <v>5393</v>
      </c>
      <c r="B172" s="658" t="s">
        <v>5393</v>
      </c>
    </row>
    <row r="173" spans="1:6">
      <c r="A173" s="658" t="s">
        <v>1664</v>
      </c>
      <c r="B173" s="658" t="s">
        <v>1669</v>
      </c>
    </row>
    <row r="174" spans="1:6">
      <c r="A174" s="658" t="s">
        <v>1665</v>
      </c>
      <c r="B174" s="658" t="s">
        <v>1670</v>
      </c>
    </row>
    <row r="175" spans="1:6">
      <c r="A175" s="658" t="s">
        <v>1791</v>
      </c>
      <c r="B175" s="658" t="s">
        <v>1671</v>
      </c>
    </row>
    <row r="176" spans="1:6">
      <c r="A176" s="658" t="s">
        <v>1666</v>
      </c>
      <c r="B176" s="658" t="s">
        <v>1672</v>
      </c>
    </row>
    <row r="177" spans="1:4">
      <c r="A177" s="658" t="s">
        <v>1667</v>
      </c>
      <c r="B177" s="658" t="s">
        <v>1673</v>
      </c>
    </row>
    <row r="178" spans="1:4">
      <c r="A178" s="658" t="s">
        <v>1668</v>
      </c>
      <c r="B178" s="658" t="s">
        <v>1668</v>
      </c>
    </row>
    <row r="180" spans="1:4">
      <c r="A180" s="694" t="s">
        <v>1644</v>
      </c>
      <c r="B180" s="692"/>
      <c r="C180" s="692"/>
      <c r="D180" s="659"/>
    </row>
    <row r="181" spans="1:4">
      <c r="D181" s="659"/>
    </row>
    <row r="182" spans="1:4">
      <c r="A182" s="658" t="s">
        <v>1645</v>
      </c>
      <c r="D182" s="659"/>
    </row>
    <row r="183" spans="1:4">
      <c r="A183" s="658" t="s">
        <v>1646</v>
      </c>
      <c r="D183" s="659"/>
    </row>
    <row r="184" spans="1:4">
      <c r="D184" s="659"/>
    </row>
    <row r="185" spans="1:4">
      <c r="A185" s="694" t="s">
        <v>1647</v>
      </c>
      <c r="B185" s="692"/>
      <c r="C185" s="692"/>
      <c r="D185" s="659"/>
    </row>
    <row r="186" spans="1:4">
      <c r="D186" s="659"/>
    </row>
    <row r="187" spans="1:4">
      <c r="A187" s="658" t="s">
        <v>1648</v>
      </c>
      <c r="D187" s="659"/>
    </row>
    <row r="188" spans="1:4">
      <c r="A188" s="658" t="s">
        <v>1646</v>
      </c>
      <c r="D188" s="659"/>
    </row>
    <row r="189" spans="1:4">
      <c r="D189" s="659"/>
    </row>
    <row r="190" spans="1:4">
      <c r="A190" s="694" t="s">
        <v>1649</v>
      </c>
      <c r="B190" s="692"/>
      <c r="C190" s="692"/>
      <c r="D190" s="659"/>
    </row>
    <row r="191" spans="1:4">
      <c r="D191" s="659"/>
    </row>
    <row r="192" spans="1:4">
      <c r="A192" s="658" t="s">
        <v>1650</v>
      </c>
      <c r="D192" s="659"/>
    </row>
    <row r="193" spans="1:4">
      <c r="A193" s="658" t="s">
        <v>1651</v>
      </c>
      <c r="D193" s="659"/>
    </row>
    <row r="194" spans="1:4">
      <c r="A194" s="658" t="s">
        <v>1652</v>
      </c>
      <c r="D194" s="659"/>
    </row>
    <row r="195" spans="1:4">
      <c r="D195" s="659"/>
    </row>
    <row r="196" spans="1:4">
      <c r="A196" s="694" t="s">
        <v>1909</v>
      </c>
      <c r="B196" s="692"/>
      <c r="C196" s="692"/>
      <c r="D196" s="659"/>
    </row>
    <row r="197" spans="1:4">
      <c r="D197" s="659"/>
    </row>
    <row r="198" spans="1:4">
      <c r="A198" s="658" t="s">
        <v>1650</v>
      </c>
    </row>
    <row r="199" spans="1:4">
      <c r="A199" s="658" t="s">
        <v>1646</v>
      </c>
    </row>
    <row r="200" spans="1:4">
      <c r="D200" s="659"/>
    </row>
    <row r="201" spans="1:4">
      <c r="A201" s="694" t="s">
        <v>1476</v>
      </c>
      <c r="B201" s="692"/>
      <c r="C201" s="692"/>
    </row>
    <row r="203" spans="1:4">
      <c r="A203" s="658" t="s">
        <v>1477</v>
      </c>
    </row>
    <row r="204" spans="1:4">
      <c r="A204" s="658" t="s">
        <v>1478</v>
      </c>
    </row>
    <row r="205" spans="1:4">
      <c r="A205" s="658" t="s">
        <v>1479</v>
      </c>
    </row>
    <row r="206" spans="1:4">
      <c r="A206" s="658" t="s">
        <v>1480</v>
      </c>
    </row>
    <row r="207" spans="1:4">
      <c r="A207" s="658" t="s">
        <v>1481</v>
      </c>
      <c r="D207" s="662"/>
    </row>
    <row r="208" spans="1:4">
      <c r="D208" s="659"/>
    </row>
    <row r="209" spans="1:4">
      <c r="A209" s="694" t="s">
        <v>380</v>
      </c>
      <c r="B209" s="692"/>
      <c r="C209" s="692"/>
      <c r="D209" s="661"/>
    </row>
    <row r="210" spans="1:4">
      <c r="D210" s="661"/>
    </row>
    <row r="211" spans="1:4">
      <c r="A211" s="658" t="s">
        <v>233</v>
      </c>
    </row>
    <row r="212" spans="1:4">
      <c r="A212" s="658" t="s">
        <v>1911</v>
      </c>
    </row>
    <row r="214" spans="1:4">
      <c r="A214" s="694" t="s">
        <v>1910</v>
      </c>
      <c r="B214" s="692"/>
      <c r="C214" s="692"/>
      <c r="D214" s="661"/>
    </row>
    <row r="215" spans="1:4">
      <c r="D215" s="661"/>
    </row>
    <row r="216" spans="1:4">
      <c r="A216" s="658" t="s">
        <v>233</v>
      </c>
    </row>
    <row r="217" spans="1:4">
      <c r="A217" s="658" t="s">
        <v>1911</v>
      </c>
    </row>
    <row r="219" spans="1:4">
      <c r="A219" s="692" t="s">
        <v>1632</v>
      </c>
      <c r="B219" s="692"/>
      <c r="C219" s="692"/>
    </row>
    <row r="220" spans="1:4">
      <c r="C220" s="664"/>
    </row>
    <row r="221" spans="1:4">
      <c r="A221" s="658" t="s">
        <v>888</v>
      </c>
      <c r="B221" s="658" t="s">
        <v>889</v>
      </c>
      <c r="C221" s="664" t="s">
        <v>1182</v>
      </c>
      <c r="D221" s="698" t="s">
        <v>1183</v>
      </c>
    </row>
    <row r="222" spans="1:4">
      <c r="B222" s="658" t="s">
        <v>889</v>
      </c>
      <c r="C222" s="664" t="s">
        <v>1184</v>
      </c>
      <c r="D222" s="698" t="s">
        <v>1185</v>
      </c>
    </row>
    <row r="223" spans="1:4">
      <c r="A223" s="698"/>
      <c r="B223" s="658" t="s">
        <v>889</v>
      </c>
      <c r="C223" s="664" t="s">
        <v>1186</v>
      </c>
      <c r="D223" s="698" t="s">
        <v>1187</v>
      </c>
    </row>
    <row r="224" spans="1:4">
      <c r="A224" s="698"/>
      <c r="B224" s="658" t="s">
        <v>889</v>
      </c>
      <c r="C224" s="664" t="s">
        <v>1188</v>
      </c>
      <c r="D224" s="698" t="s">
        <v>1189</v>
      </c>
    </row>
    <row r="225" spans="1:4">
      <c r="A225" s="698"/>
      <c r="B225" s="658" t="s">
        <v>889</v>
      </c>
      <c r="C225" s="664" t="s">
        <v>1190</v>
      </c>
      <c r="D225" s="698" t="s">
        <v>1191</v>
      </c>
    </row>
    <row r="226" spans="1:4">
      <c r="A226" s="698"/>
      <c r="B226" s="658" t="s">
        <v>889</v>
      </c>
      <c r="C226" s="664" t="s">
        <v>1192</v>
      </c>
      <c r="D226" s="698" t="s">
        <v>1193</v>
      </c>
    </row>
    <row r="227" spans="1:4">
      <c r="A227" s="698"/>
      <c r="B227" s="658" t="s">
        <v>889</v>
      </c>
      <c r="C227" s="664" t="s">
        <v>1194</v>
      </c>
      <c r="D227" s="698" t="s">
        <v>1195</v>
      </c>
    </row>
    <row r="228" spans="1:4">
      <c r="A228" s="698"/>
      <c r="B228" s="658" t="s">
        <v>889</v>
      </c>
      <c r="C228" s="664" t="s">
        <v>1196</v>
      </c>
      <c r="D228" s="698" t="s">
        <v>1197</v>
      </c>
    </row>
    <row r="229" spans="1:4">
      <c r="A229" s="698"/>
      <c r="B229" s="658" t="s">
        <v>889</v>
      </c>
      <c r="C229" s="664" t="s">
        <v>1198</v>
      </c>
      <c r="D229" s="698" t="s">
        <v>1199</v>
      </c>
    </row>
    <row r="230" spans="1:4">
      <c r="A230" s="698"/>
      <c r="B230" s="658" t="s">
        <v>889</v>
      </c>
      <c r="C230" s="664" t="s">
        <v>1200</v>
      </c>
      <c r="D230" s="698" t="s">
        <v>1201</v>
      </c>
    </row>
    <row r="231" spans="1:4">
      <c r="A231" s="698"/>
      <c r="B231" s="658" t="s">
        <v>889</v>
      </c>
      <c r="C231" s="664" t="s">
        <v>1202</v>
      </c>
      <c r="D231" s="698" t="s">
        <v>1203</v>
      </c>
    </row>
    <row r="232" spans="1:4">
      <c r="A232" s="698"/>
      <c r="B232" s="658" t="s">
        <v>889</v>
      </c>
      <c r="C232" s="664" t="s">
        <v>1204</v>
      </c>
      <c r="D232" s="698" t="s">
        <v>1205</v>
      </c>
    </row>
    <row r="233" spans="1:4">
      <c r="A233" s="698"/>
      <c r="B233" s="658" t="s">
        <v>889</v>
      </c>
      <c r="C233" s="664" t="s">
        <v>1206</v>
      </c>
      <c r="D233" s="698" t="s">
        <v>1207</v>
      </c>
    </row>
    <row r="234" spans="1:4">
      <c r="A234" s="698"/>
      <c r="B234" s="658" t="s">
        <v>889</v>
      </c>
      <c r="C234" s="664" t="s">
        <v>1208</v>
      </c>
      <c r="D234" s="698" t="s">
        <v>1209</v>
      </c>
    </row>
    <row r="235" spans="1:4">
      <c r="A235" s="698"/>
      <c r="B235" s="658" t="s">
        <v>889</v>
      </c>
      <c r="C235" s="664" t="s">
        <v>1210</v>
      </c>
      <c r="D235" s="698" t="s">
        <v>1211</v>
      </c>
    </row>
    <row r="236" spans="1:4">
      <c r="A236" s="698"/>
      <c r="B236" s="658" t="s">
        <v>889</v>
      </c>
      <c r="C236" s="664" t="s">
        <v>1212</v>
      </c>
      <c r="D236" s="698" t="s">
        <v>1213</v>
      </c>
    </row>
    <row r="237" spans="1:4">
      <c r="A237" s="698"/>
      <c r="B237" s="658" t="s">
        <v>889</v>
      </c>
      <c r="C237" s="664" t="s">
        <v>1214</v>
      </c>
      <c r="D237" s="698" t="s">
        <v>1215</v>
      </c>
    </row>
    <row r="238" spans="1:4">
      <c r="A238" s="698"/>
      <c r="B238" s="658" t="s">
        <v>889</v>
      </c>
      <c r="C238" s="664" t="s">
        <v>1216</v>
      </c>
      <c r="D238" s="698" t="s">
        <v>1217</v>
      </c>
    </row>
    <row r="239" spans="1:4">
      <c r="B239" s="658" t="s">
        <v>889</v>
      </c>
      <c r="C239" s="664" t="s">
        <v>1218</v>
      </c>
      <c r="D239" s="698" t="s">
        <v>1219</v>
      </c>
    </row>
    <row r="240" spans="1:4">
      <c r="B240" s="658" t="s">
        <v>889</v>
      </c>
      <c r="C240" s="664" t="s">
        <v>1220</v>
      </c>
      <c r="D240" s="698" t="s">
        <v>1221</v>
      </c>
    </row>
    <row r="241" spans="1:4">
      <c r="B241" s="658" t="s">
        <v>889</v>
      </c>
      <c r="C241" s="664" t="s">
        <v>1222</v>
      </c>
      <c r="D241" s="698" t="s">
        <v>1223</v>
      </c>
    </row>
    <row r="242" spans="1:4">
      <c r="B242" s="658" t="s">
        <v>889</v>
      </c>
      <c r="C242" s="664" t="s">
        <v>1224</v>
      </c>
      <c r="D242" s="698" t="s">
        <v>1225</v>
      </c>
    </row>
    <row r="243" spans="1:4">
      <c r="B243" s="658" t="s">
        <v>889</v>
      </c>
      <c r="C243" s="664" t="s">
        <v>1226</v>
      </c>
      <c r="D243" s="698" t="s">
        <v>1227</v>
      </c>
    </row>
    <row r="244" spans="1:4">
      <c r="A244" s="658" t="s">
        <v>913</v>
      </c>
      <c r="B244" s="658" t="s">
        <v>75</v>
      </c>
      <c r="C244" s="699" t="s">
        <v>1228</v>
      </c>
      <c r="D244" s="698" t="s">
        <v>1229</v>
      </c>
    </row>
    <row r="245" spans="1:4">
      <c r="A245" s="658" t="s">
        <v>547</v>
      </c>
      <c r="B245" s="658" t="s">
        <v>346</v>
      </c>
      <c r="C245" s="699" t="s">
        <v>1230</v>
      </c>
      <c r="D245" s="698" t="s">
        <v>1231</v>
      </c>
    </row>
    <row r="246" spans="1:4">
      <c r="B246" s="658" t="s">
        <v>478</v>
      </c>
      <c r="C246" s="699" t="s">
        <v>1232</v>
      </c>
      <c r="D246" s="698" t="s">
        <v>1233</v>
      </c>
    </row>
    <row r="247" spans="1:4">
      <c r="B247" s="658" t="s">
        <v>477</v>
      </c>
      <c r="C247" s="699" t="s">
        <v>1234</v>
      </c>
      <c r="D247" s="698" t="s">
        <v>1235</v>
      </c>
    </row>
    <row r="248" spans="1:4">
      <c r="B248" s="658" t="s">
        <v>76</v>
      </c>
      <c r="C248" s="699" t="s">
        <v>1236</v>
      </c>
      <c r="D248" s="698" t="s">
        <v>1237</v>
      </c>
    </row>
    <row r="249" spans="1:4">
      <c r="B249" s="658" t="s">
        <v>76</v>
      </c>
      <c r="C249" s="699" t="s">
        <v>1238</v>
      </c>
      <c r="D249" s="698" t="s">
        <v>1239</v>
      </c>
    </row>
    <row r="250" spans="1:4">
      <c r="B250" s="658" t="s">
        <v>76</v>
      </c>
      <c r="C250" s="699" t="s">
        <v>1240</v>
      </c>
      <c r="D250" s="698" t="s">
        <v>1241</v>
      </c>
    </row>
    <row r="251" spans="1:4">
      <c r="B251" s="658" t="s">
        <v>480</v>
      </c>
      <c r="C251" s="699" t="s">
        <v>1242</v>
      </c>
      <c r="D251" s="698" t="s">
        <v>1243</v>
      </c>
    </row>
    <row r="252" spans="1:4">
      <c r="B252" s="658" t="s">
        <v>479</v>
      </c>
      <c r="C252" s="699" t="s">
        <v>1244</v>
      </c>
      <c r="D252" s="698" t="s">
        <v>1245</v>
      </c>
    </row>
    <row r="253" spans="1:4">
      <c r="B253" s="658" t="s">
        <v>479</v>
      </c>
      <c r="C253" s="699" t="s">
        <v>1246</v>
      </c>
      <c r="D253" s="698" t="s">
        <v>1247</v>
      </c>
    </row>
    <row r="254" spans="1:4">
      <c r="B254" s="658" t="s">
        <v>77</v>
      </c>
      <c r="C254" s="699" t="s">
        <v>1248</v>
      </c>
      <c r="D254" s="698" t="s">
        <v>1249</v>
      </c>
    </row>
    <row r="255" spans="1:4">
      <c r="B255" s="658" t="s">
        <v>341</v>
      </c>
      <c r="C255" s="699" t="s">
        <v>1250</v>
      </c>
      <c r="D255" s="698" t="s">
        <v>1251</v>
      </c>
    </row>
    <row r="256" spans="1:4">
      <c r="B256" s="658" t="s">
        <v>342</v>
      </c>
      <c r="C256" s="699" t="s">
        <v>1252</v>
      </c>
      <c r="D256" s="698" t="s">
        <v>1253</v>
      </c>
    </row>
    <row r="257" spans="1:4">
      <c r="B257" s="658" t="s">
        <v>342</v>
      </c>
      <c r="C257" s="699" t="s">
        <v>1254</v>
      </c>
      <c r="D257" s="698" t="s">
        <v>1255</v>
      </c>
    </row>
    <row r="258" spans="1:4">
      <c r="B258" s="658" t="s">
        <v>343</v>
      </c>
      <c r="C258" s="699" t="s">
        <v>1256</v>
      </c>
      <c r="D258" s="698" t="s">
        <v>1257</v>
      </c>
    </row>
    <row r="259" spans="1:4">
      <c r="B259" s="658" t="s">
        <v>481</v>
      </c>
      <c r="C259" s="699" t="s">
        <v>1258</v>
      </c>
      <c r="D259" s="698" t="s">
        <v>1259</v>
      </c>
    </row>
    <row r="260" spans="1:4">
      <c r="B260" s="658" t="s">
        <v>345</v>
      </c>
      <c r="C260" s="699" t="s">
        <v>1260</v>
      </c>
      <c r="D260" s="698" t="s">
        <v>1261</v>
      </c>
    </row>
    <row r="261" spans="1:4">
      <c r="B261" s="658" t="s">
        <v>344</v>
      </c>
      <c r="C261" s="699" t="s">
        <v>1262</v>
      </c>
      <c r="D261" s="698" t="s">
        <v>1263</v>
      </c>
    </row>
    <row r="262" spans="1:4">
      <c r="B262" s="658" t="s">
        <v>344</v>
      </c>
      <c r="C262" s="700" t="s">
        <v>1264</v>
      </c>
      <c r="D262" s="698" t="s">
        <v>1265</v>
      </c>
    </row>
    <row r="263" spans="1:4">
      <c r="B263" s="658" t="s">
        <v>510</v>
      </c>
      <c r="C263" s="700" t="s">
        <v>1266</v>
      </c>
      <c r="D263" s="698" t="s">
        <v>1267</v>
      </c>
    </row>
    <row r="264" spans="1:4">
      <c r="A264" s="658" t="s">
        <v>1633</v>
      </c>
      <c r="B264" s="658" t="s">
        <v>482</v>
      </c>
      <c r="C264" s="700" t="s">
        <v>1268</v>
      </c>
      <c r="D264" s="698" t="s">
        <v>1269</v>
      </c>
    </row>
    <row r="265" spans="1:4">
      <c r="A265" s="658" t="s">
        <v>1685</v>
      </c>
      <c r="B265" s="658" t="s">
        <v>482</v>
      </c>
      <c r="C265" s="700" t="s">
        <v>1270</v>
      </c>
      <c r="D265" s="698" t="s">
        <v>1271</v>
      </c>
    </row>
    <row r="266" spans="1:4">
      <c r="B266" s="658" t="s">
        <v>483</v>
      </c>
      <c r="C266" s="700" t="s">
        <v>1272</v>
      </c>
      <c r="D266" s="698" t="s">
        <v>1273</v>
      </c>
    </row>
    <row r="267" spans="1:4">
      <c r="B267" s="658" t="s">
        <v>483</v>
      </c>
      <c r="C267" s="700" t="s">
        <v>1358</v>
      </c>
      <c r="D267" s="698" t="s">
        <v>1359</v>
      </c>
    </row>
    <row r="268" spans="1:4">
      <c r="B268" s="658" t="s">
        <v>484</v>
      </c>
      <c r="C268" s="700" t="s">
        <v>1274</v>
      </c>
      <c r="D268" s="698" t="s">
        <v>1275</v>
      </c>
    </row>
    <row r="269" spans="1:4">
      <c r="B269" s="658" t="s">
        <v>485</v>
      </c>
      <c r="C269" s="700" t="s">
        <v>1276</v>
      </c>
      <c r="D269" s="698" t="s">
        <v>1277</v>
      </c>
    </row>
    <row r="270" spans="1:4">
      <c r="B270" s="658" t="s">
        <v>486</v>
      </c>
      <c r="C270" s="700" t="s">
        <v>1278</v>
      </c>
      <c r="D270" s="698" t="s">
        <v>1279</v>
      </c>
    </row>
    <row r="271" spans="1:4">
      <c r="A271" s="698"/>
      <c r="B271" s="658" t="s">
        <v>486</v>
      </c>
      <c r="C271" s="700" t="s">
        <v>1280</v>
      </c>
      <c r="D271" s="698" t="s">
        <v>1281</v>
      </c>
    </row>
    <row r="272" spans="1:4">
      <c r="A272" s="698"/>
      <c r="B272" s="658" t="s">
        <v>486</v>
      </c>
      <c r="C272" s="700" t="s">
        <v>1675</v>
      </c>
      <c r="D272" s="698" t="s">
        <v>1676</v>
      </c>
    </row>
    <row r="273" spans="1:4">
      <c r="A273" s="698"/>
      <c r="B273" s="658" t="s">
        <v>487</v>
      </c>
      <c r="C273" s="700" t="s">
        <v>1282</v>
      </c>
      <c r="D273" s="698" t="s">
        <v>1283</v>
      </c>
    </row>
    <row r="274" spans="1:4">
      <c r="A274" s="698"/>
      <c r="B274" s="658" t="s">
        <v>488</v>
      </c>
      <c r="C274" s="700" t="s">
        <v>1284</v>
      </c>
      <c r="D274" s="698" t="s">
        <v>1285</v>
      </c>
    </row>
    <row r="275" spans="1:4">
      <c r="A275" s="698"/>
      <c r="B275" s="658" t="s">
        <v>488</v>
      </c>
      <c r="C275" s="700" t="s">
        <v>1286</v>
      </c>
      <c r="D275" s="698" t="s">
        <v>1287</v>
      </c>
    </row>
    <row r="276" spans="1:4">
      <c r="A276" s="698"/>
      <c r="B276" s="658" t="s">
        <v>489</v>
      </c>
      <c r="C276" s="700" t="s">
        <v>1288</v>
      </c>
      <c r="D276" s="698" t="s">
        <v>1289</v>
      </c>
    </row>
    <row r="277" spans="1:4">
      <c r="A277" s="698"/>
      <c r="B277" s="658" t="s">
        <v>489</v>
      </c>
      <c r="C277" s="700" t="s">
        <v>1290</v>
      </c>
      <c r="D277" s="662" t="s">
        <v>1291</v>
      </c>
    </row>
    <row r="278" spans="1:4">
      <c r="A278" s="698"/>
      <c r="B278" s="658" t="s">
        <v>489</v>
      </c>
      <c r="C278" s="700" t="s">
        <v>1677</v>
      </c>
      <c r="D278" s="659" t="s">
        <v>1373</v>
      </c>
    </row>
    <row r="279" spans="1:4">
      <c r="A279" s="698"/>
      <c r="B279" s="658" t="s">
        <v>490</v>
      </c>
      <c r="C279" s="700" t="s">
        <v>1292</v>
      </c>
      <c r="D279" s="659" t="s">
        <v>1293</v>
      </c>
    </row>
    <row r="280" spans="1:4">
      <c r="A280" s="698"/>
      <c r="B280" s="658" t="s">
        <v>490</v>
      </c>
      <c r="C280" s="700" t="s">
        <v>1294</v>
      </c>
      <c r="D280" s="659" t="s">
        <v>1295</v>
      </c>
    </row>
    <row r="281" spans="1:4">
      <c r="A281" s="698"/>
      <c r="B281" s="658" t="s">
        <v>1678</v>
      </c>
      <c r="C281" s="700" t="s">
        <v>1296</v>
      </c>
      <c r="D281" s="659" t="s">
        <v>1297</v>
      </c>
    </row>
    <row r="282" spans="1:4">
      <c r="A282" s="698"/>
      <c r="B282" s="658" t="s">
        <v>491</v>
      </c>
      <c r="C282" s="700" t="s">
        <v>1298</v>
      </c>
      <c r="D282" s="659" t="s">
        <v>1299</v>
      </c>
    </row>
    <row r="283" spans="1:4">
      <c r="A283" s="698"/>
      <c r="B283" s="658" t="s">
        <v>492</v>
      </c>
      <c r="C283" s="700" t="s">
        <v>1300</v>
      </c>
      <c r="D283" s="659" t="s">
        <v>1301</v>
      </c>
    </row>
    <row r="284" spans="1:4">
      <c r="A284" s="698"/>
      <c r="B284" s="658" t="s">
        <v>493</v>
      </c>
      <c r="C284" s="700" t="s">
        <v>1302</v>
      </c>
      <c r="D284" s="659" t="s">
        <v>1303</v>
      </c>
    </row>
    <row r="285" spans="1:4">
      <c r="A285" s="698"/>
      <c r="B285" s="658" t="s">
        <v>494</v>
      </c>
      <c r="C285" s="700" t="s">
        <v>1304</v>
      </c>
      <c r="D285" s="659" t="s">
        <v>1305</v>
      </c>
    </row>
    <row r="286" spans="1:4">
      <c r="A286" s="698"/>
      <c r="B286" s="658" t="s">
        <v>495</v>
      </c>
      <c r="C286" s="700" t="s">
        <v>1306</v>
      </c>
      <c r="D286" s="659" t="s">
        <v>1307</v>
      </c>
    </row>
    <row r="287" spans="1:4">
      <c r="A287" s="698"/>
      <c r="B287" s="658" t="s">
        <v>496</v>
      </c>
      <c r="C287" s="700" t="s">
        <v>1308</v>
      </c>
      <c r="D287" s="659" t="s">
        <v>1309</v>
      </c>
    </row>
    <row r="288" spans="1:4">
      <c r="A288" s="698"/>
      <c r="B288" s="658" t="s">
        <v>496</v>
      </c>
      <c r="C288" s="700" t="s">
        <v>1310</v>
      </c>
      <c r="D288" s="659" t="s">
        <v>1311</v>
      </c>
    </row>
    <row r="289" spans="1:4">
      <c r="A289" s="698"/>
      <c r="B289" s="658" t="s">
        <v>496</v>
      </c>
      <c r="C289" s="700" t="s">
        <v>1312</v>
      </c>
      <c r="D289" s="659" t="s">
        <v>1313</v>
      </c>
    </row>
    <row r="290" spans="1:4">
      <c r="A290" s="698"/>
      <c r="B290" s="658" t="s">
        <v>497</v>
      </c>
      <c r="C290" s="700" t="s">
        <v>1314</v>
      </c>
      <c r="D290" s="659" t="s">
        <v>1315</v>
      </c>
    </row>
    <row r="291" spans="1:4">
      <c r="A291" s="698"/>
      <c r="B291" s="658" t="s">
        <v>498</v>
      </c>
      <c r="C291" s="700" t="s">
        <v>1316</v>
      </c>
      <c r="D291" s="659" t="s">
        <v>1317</v>
      </c>
    </row>
    <row r="292" spans="1:4">
      <c r="A292" s="698"/>
      <c r="B292" s="658" t="s">
        <v>498</v>
      </c>
      <c r="C292" s="700" t="s">
        <v>1318</v>
      </c>
      <c r="D292" s="659" t="s">
        <v>1319</v>
      </c>
    </row>
    <row r="293" spans="1:4">
      <c r="A293" s="698"/>
      <c r="B293" s="658" t="s">
        <v>498</v>
      </c>
      <c r="C293" s="700" t="s">
        <v>1320</v>
      </c>
      <c r="D293" s="659" t="s">
        <v>1321</v>
      </c>
    </row>
    <row r="294" spans="1:4">
      <c r="A294" s="698"/>
      <c r="B294" s="658" t="s">
        <v>498</v>
      </c>
      <c r="C294" s="700" t="s">
        <v>1322</v>
      </c>
      <c r="D294" s="659" t="s">
        <v>1323</v>
      </c>
    </row>
    <row r="295" spans="1:4">
      <c r="A295" s="698"/>
      <c r="B295" s="658" t="s">
        <v>498</v>
      </c>
      <c r="C295" s="700" t="s">
        <v>1679</v>
      </c>
      <c r="D295" s="659" t="s">
        <v>1417</v>
      </c>
    </row>
    <row r="296" spans="1:4">
      <c r="A296" s="698"/>
      <c r="B296" s="658" t="s">
        <v>499</v>
      </c>
      <c r="C296" s="700" t="s">
        <v>1324</v>
      </c>
      <c r="D296" s="659" t="s">
        <v>1325</v>
      </c>
    </row>
    <row r="297" spans="1:4">
      <c r="A297" s="698"/>
      <c r="B297" s="658" t="s">
        <v>499</v>
      </c>
      <c r="C297" s="700" t="s">
        <v>1326</v>
      </c>
      <c r="D297" s="659" t="s">
        <v>1327</v>
      </c>
    </row>
    <row r="298" spans="1:4">
      <c r="A298" s="698"/>
      <c r="B298" s="658" t="s">
        <v>499</v>
      </c>
      <c r="C298" s="700" t="s">
        <v>1328</v>
      </c>
      <c r="D298" s="659" t="s">
        <v>1329</v>
      </c>
    </row>
    <row r="299" spans="1:4">
      <c r="A299" s="698"/>
      <c r="B299" s="658" t="s">
        <v>499</v>
      </c>
      <c r="C299" s="700" t="s">
        <v>1420</v>
      </c>
      <c r="D299" s="659" t="s">
        <v>1421</v>
      </c>
    </row>
    <row r="300" spans="1:4">
      <c r="A300" s="698"/>
      <c r="B300" s="658" t="s">
        <v>500</v>
      </c>
      <c r="C300" s="700" t="s">
        <v>1330</v>
      </c>
      <c r="D300" s="659" t="s">
        <v>1331</v>
      </c>
    </row>
    <row r="301" spans="1:4">
      <c r="A301" s="698"/>
      <c r="B301" s="658" t="s">
        <v>501</v>
      </c>
      <c r="C301" s="700" t="s">
        <v>1332</v>
      </c>
      <c r="D301" s="659" t="s">
        <v>1333</v>
      </c>
    </row>
    <row r="302" spans="1:4">
      <c r="A302" s="698"/>
      <c r="B302" s="658" t="s">
        <v>1680</v>
      </c>
      <c r="C302" s="700" t="s">
        <v>1681</v>
      </c>
      <c r="D302" s="659" t="s">
        <v>1427</v>
      </c>
    </row>
    <row r="303" spans="1:4">
      <c r="B303" s="658" t="s">
        <v>1682</v>
      </c>
      <c r="C303" s="700" t="s">
        <v>1683</v>
      </c>
      <c r="D303" s="659" t="s">
        <v>1429</v>
      </c>
    </row>
    <row r="304" spans="1:4">
      <c r="B304" s="658" t="s">
        <v>502</v>
      </c>
      <c r="C304" s="700" t="s">
        <v>1334</v>
      </c>
      <c r="D304" s="659" t="s">
        <v>1335</v>
      </c>
    </row>
    <row r="305" spans="1:7">
      <c r="B305" s="658" t="s">
        <v>503</v>
      </c>
      <c r="C305" s="700" t="s">
        <v>1336</v>
      </c>
      <c r="D305" s="659" t="s">
        <v>1337</v>
      </c>
    </row>
    <row r="306" spans="1:7">
      <c r="B306" s="658" t="s">
        <v>503</v>
      </c>
      <c r="C306" s="700" t="s">
        <v>1430</v>
      </c>
      <c r="D306" s="659" t="s">
        <v>1431</v>
      </c>
    </row>
    <row r="307" spans="1:7">
      <c r="B307" s="658" t="s">
        <v>504</v>
      </c>
      <c r="C307" s="700" t="s">
        <v>1338</v>
      </c>
      <c r="D307" s="659" t="s">
        <v>1339</v>
      </c>
    </row>
    <row r="308" spans="1:7">
      <c r="B308" s="658" t="s">
        <v>505</v>
      </c>
      <c r="C308" s="700" t="s">
        <v>1340</v>
      </c>
      <c r="D308" s="659" t="s">
        <v>1341</v>
      </c>
    </row>
    <row r="309" spans="1:7">
      <c r="B309" s="658" t="s">
        <v>506</v>
      </c>
      <c r="C309" s="700" t="s">
        <v>1342</v>
      </c>
      <c r="D309" s="659" t="s">
        <v>1343</v>
      </c>
    </row>
    <row r="310" spans="1:7">
      <c r="B310" s="658" t="s">
        <v>507</v>
      </c>
      <c r="C310" s="700" t="s">
        <v>1344</v>
      </c>
      <c r="D310" s="659" t="s">
        <v>1345</v>
      </c>
    </row>
    <row r="311" spans="1:7">
      <c r="B311" s="658" t="s">
        <v>508</v>
      </c>
      <c r="C311" s="700" t="s">
        <v>1346</v>
      </c>
      <c r="D311" s="659" t="s">
        <v>1347</v>
      </c>
    </row>
    <row r="312" spans="1:7">
      <c r="B312" s="658" t="s">
        <v>509</v>
      </c>
      <c r="C312" s="700" t="s">
        <v>1348</v>
      </c>
      <c r="D312" s="659" t="s">
        <v>1349</v>
      </c>
    </row>
    <row r="313" spans="1:7">
      <c r="B313" s="658" t="s">
        <v>509</v>
      </c>
      <c r="C313" s="700" t="s">
        <v>1434</v>
      </c>
      <c r="D313" s="659" t="s">
        <v>1435</v>
      </c>
      <c r="E313" s="662"/>
      <c r="F313" s="662"/>
      <c r="G313" s="662"/>
    </row>
    <row r="314" spans="1:7">
      <c r="B314" s="658" t="s">
        <v>511</v>
      </c>
      <c r="C314" s="700" t="s">
        <v>1350</v>
      </c>
      <c r="D314" s="659" t="s">
        <v>1351</v>
      </c>
      <c r="E314" s="662"/>
      <c r="F314" s="662"/>
      <c r="G314" s="662"/>
    </row>
    <row r="315" spans="1:7">
      <c r="B315" s="658" t="s">
        <v>512</v>
      </c>
      <c r="C315" s="700" t="s">
        <v>1352</v>
      </c>
      <c r="D315" s="659" t="s">
        <v>1353</v>
      </c>
      <c r="E315" s="662"/>
      <c r="F315" s="662"/>
      <c r="G315" s="662"/>
    </row>
    <row r="316" spans="1:7">
      <c r="B316" s="658" t="s">
        <v>513</v>
      </c>
      <c r="C316" s="700" t="s">
        <v>1354</v>
      </c>
      <c r="D316" s="659" t="s">
        <v>1355</v>
      </c>
      <c r="E316" s="662"/>
      <c r="F316" s="662"/>
      <c r="G316" s="662"/>
    </row>
    <row r="317" spans="1:7">
      <c r="B317" s="658" t="s">
        <v>1684</v>
      </c>
      <c r="C317" s="700" t="s">
        <v>1356</v>
      </c>
      <c r="D317" s="659" t="s">
        <v>1357</v>
      </c>
      <c r="E317" s="662"/>
      <c r="F317" s="662"/>
      <c r="G317" s="662"/>
    </row>
    <row r="318" spans="1:7">
      <c r="A318" s="658" t="s">
        <v>1634</v>
      </c>
      <c r="B318" s="658" t="s">
        <v>514</v>
      </c>
      <c r="C318" s="700" t="s">
        <v>1360</v>
      </c>
      <c r="D318" s="659" t="s">
        <v>1361</v>
      </c>
      <c r="E318" s="662"/>
      <c r="F318" s="662"/>
      <c r="G318" s="662"/>
    </row>
    <row r="319" spans="1:7">
      <c r="A319" s="658" t="s">
        <v>1635</v>
      </c>
      <c r="B319" s="658" t="s">
        <v>515</v>
      </c>
      <c r="C319" s="700" t="s">
        <v>1362</v>
      </c>
      <c r="D319" s="659" t="s">
        <v>1363</v>
      </c>
      <c r="E319" s="662"/>
      <c r="F319" s="662"/>
      <c r="G319" s="662"/>
    </row>
    <row r="320" spans="1:7">
      <c r="B320" s="658" t="s">
        <v>515</v>
      </c>
      <c r="C320" s="700" t="s">
        <v>1364</v>
      </c>
      <c r="D320" s="659" t="s">
        <v>1365</v>
      </c>
      <c r="E320" s="662"/>
      <c r="F320" s="662"/>
      <c r="G320" s="662"/>
    </row>
    <row r="321" spans="1:7">
      <c r="B321" s="658" t="s">
        <v>515</v>
      </c>
      <c r="C321" s="700" t="s">
        <v>1366</v>
      </c>
      <c r="D321" s="659" t="s">
        <v>1367</v>
      </c>
      <c r="E321" s="662"/>
      <c r="F321" s="662"/>
      <c r="G321" s="662"/>
    </row>
    <row r="322" spans="1:7">
      <c r="B322" s="658" t="s">
        <v>515</v>
      </c>
      <c r="C322" s="700" t="s">
        <v>1368</v>
      </c>
      <c r="D322" s="659" t="s">
        <v>1369</v>
      </c>
      <c r="E322" s="662"/>
      <c r="F322" s="662"/>
      <c r="G322" s="662"/>
    </row>
    <row r="323" spans="1:7">
      <c r="B323" s="658" t="s">
        <v>489</v>
      </c>
      <c r="C323" s="700" t="s">
        <v>1370</v>
      </c>
      <c r="D323" s="659" t="s">
        <v>1371</v>
      </c>
      <c r="E323" s="662"/>
      <c r="F323" s="662"/>
      <c r="G323" s="662"/>
    </row>
    <row r="324" spans="1:7">
      <c r="B324" s="658" t="s">
        <v>489</v>
      </c>
      <c r="C324" s="700" t="s">
        <v>1372</v>
      </c>
      <c r="D324" s="659" t="s">
        <v>1373</v>
      </c>
      <c r="E324" s="662"/>
      <c r="F324" s="662"/>
      <c r="G324" s="662"/>
    </row>
    <row r="325" spans="1:7">
      <c r="B325" s="658" t="s">
        <v>489</v>
      </c>
      <c r="C325" s="700" t="s">
        <v>1374</v>
      </c>
      <c r="D325" s="659" t="s">
        <v>1375</v>
      </c>
      <c r="E325" s="662"/>
      <c r="F325" s="662"/>
      <c r="G325" s="662"/>
    </row>
    <row r="326" spans="1:7">
      <c r="B326" s="658" t="s">
        <v>489</v>
      </c>
      <c r="C326" s="700" t="s">
        <v>1376</v>
      </c>
      <c r="D326" s="659" t="s">
        <v>1377</v>
      </c>
      <c r="E326" s="662"/>
      <c r="F326" s="662"/>
      <c r="G326" s="662"/>
    </row>
    <row r="327" spans="1:7">
      <c r="B327" s="658" t="s">
        <v>489</v>
      </c>
      <c r="C327" s="700" t="s">
        <v>1378</v>
      </c>
      <c r="D327" s="659" t="s">
        <v>1379</v>
      </c>
      <c r="E327" s="662"/>
      <c r="F327" s="662"/>
      <c r="G327" s="662"/>
    </row>
    <row r="328" spans="1:7">
      <c r="B328" s="658" t="s">
        <v>491</v>
      </c>
      <c r="C328" s="700" t="s">
        <v>1380</v>
      </c>
      <c r="D328" s="659" t="s">
        <v>1381</v>
      </c>
      <c r="E328" s="662"/>
      <c r="F328" s="662"/>
      <c r="G328" s="662"/>
    </row>
    <row r="329" spans="1:7">
      <c r="B329" s="658" t="s">
        <v>491</v>
      </c>
      <c r="C329" s="700" t="s">
        <v>1382</v>
      </c>
      <c r="D329" s="659" t="s">
        <v>1383</v>
      </c>
      <c r="E329" s="662"/>
      <c r="F329" s="662"/>
      <c r="G329" s="662"/>
    </row>
    <row r="330" spans="1:7">
      <c r="B330" s="658" t="s">
        <v>491</v>
      </c>
      <c r="C330" s="700" t="s">
        <v>1384</v>
      </c>
      <c r="D330" s="659" t="s">
        <v>1385</v>
      </c>
      <c r="E330" s="662"/>
      <c r="F330" s="662"/>
      <c r="G330" s="662"/>
    </row>
    <row r="331" spans="1:7">
      <c r="B331" s="658" t="s">
        <v>491</v>
      </c>
      <c r="C331" s="700" t="s">
        <v>1386</v>
      </c>
      <c r="D331" s="659" t="s">
        <v>1387</v>
      </c>
      <c r="E331" s="662"/>
      <c r="F331" s="662"/>
      <c r="G331" s="662"/>
    </row>
    <row r="332" spans="1:7">
      <c r="B332" s="658" t="s">
        <v>491</v>
      </c>
      <c r="C332" s="700" t="s">
        <v>1388</v>
      </c>
      <c r="D332" s="659" t="s">
        <v>1389</v>
      </c>
      <c r="E332" s="662"/>
      <c r="F332" s="662"/>
      <c r="G332" s="662"/>
    </row>
    <row r="333" spans="1:7">
      <c r="B333" s="658" t="s">
        <v>516</v>
      </c>
      <c r="C333" s="700" t="s">
        <v>1390</v>
      </c>
      <c r="D333" s="659" t="s">
        <v>1391</v>
      </c>
      <c r="E333" s="662"/>
      <c r="F333" s="662"/>
      <c r="G333" s="662"/>
    </row>
    <row r="334" spans="1:7">
      <c r="B334" s="658" t="s">
        <v>516</v>
      </c>
      <c r="C334" s="700" t="s">
        <v>1392</v>
      </c>
      <c r="D334" s="659" t="s">
        <v>1393</v>
      </c>
      <c r="E334" s="662"/>
      <c r="F334" s="662"/>
      <c r="G334" s="662"/>
    </row>
    <row r="335" spans="1:7">
      <c r="A335" s="698"/>
      <c r="B335" s="658" t="s">
        <v>517</v>
      </c>
      <c r="C335" s="700" t="s">
        <v>1394</v>
      </c>
      <c r="D335" s="659" t="s">
        <v>1395</v>
      </c>
      <c r="E335" s="662"/>
      <c r="F335" s="662"/>
      <c r="G335" s="662"/>
    </row>
    <row r="336" spans="1:7">
      <c r="A336" s="698"/>
      <c r="B336" s="658" t="s">
        <v>518</v>
      </c>
      <c r="C336" s="700" t="s">
        <v>1396</v>
      </c>
      <c r="D336" s="659" t="s">
        <v>1397</v>
      </c>
      <c r="E336" s="662"/>
      <c r="F336" s="662"/>
      <c r="G336" s="662"/>
    </row>
    <row r="337" spans="1:7">
      <c r="A337" s="698"/>
      <c r="B337" s="658" t="s">
        <v>494</v>
      </c>
      <c r="C337" s="700" t="s">
        <v>1398</v>
      </c>
      <c r="D337" s="659" t="s">
        <v>1399</v>
      </c>
      <c r="E337" s="662"/>
      <c r="F337" s="662"/>
      <c r="G337" s="662"/>
    </row>
    <row r="338" spans="1:7">
      <c r="A338" s="698"/>
      <c r="B338" s="658" t="s">
        <v>608</v>
      </c>
      <c r="C338" s="700" t="s">
        <v>1400</v>
      </c>
      <c r="D338" s="659" t="s">
        <v>1401</v>
      </c>
      <c r="E338" s="662"/>
      <c r="F338" s="662"/>
      <c r="G338" s="662"/>
    </row>
    <row r="339" spans="1:7">
      <c r="A339" s="698"/>
      <c r="B339" s="658" t="s">
        <v>608</v>
      </c>
      <c r="C339" s="700" t="s">
        <v>1402</v>
      </c>
      <c r="D339" s="659" t="s">
        <v>1403</v>
      </c>
      <c r="E339" s="662"/>
      <c r="F339" s="662"/>
      <c r="G339" s="662"/>
    </row>
    <row r="340" spans="1:7">
      <c r="A340" s="698"/>
      <c r="B340" s="658" t="s">
        <v>496</v>
      </c>
      <c r="C340" s="700" t="s">
        <v>1404</v>
      </c>
      <c r="D340" s="659" t="s">
        <v>1405</v>
      </c>
      <c r="E340" s="662"/>
      <c r="F340" s="662"/>
      <c r="G340" s="662"/>
    </row>
    <row r="341" spans="1:7">
      <c r="A341" s="698"/>
      <c r="B341" s="658" t="s">
        <v>496</v>
      </c>
      <c r="C341" s="700" t="s">
        <v>1406</v>
      </c>
      <c r="D341" s="659" t="s">
        <v>1407</v>
      </c>
      <c r="E341" s="662"/>
      <c r="F341" s="662"/>
      <c r="G341" s="662"/>
    </row>
    <row r="342" spans="1:7">
      <c r="A342" s="698"/>
      <c r="B342" s="658" t="s">
        <v>609</v>
      </c>
      <c r="C342" s="700" t="s">
        <v>1408</v>
      </c>
      <c r="D342" s="659" t="s">
        <v>1409</v>
      </c>
      <c r="E342" s="662"/>
      <c r="F342" s="662"/>
      <c r="G342" s="662"/>
    </row>
    <row r="343" spans="1:7">
      <c r="A343" s="698"/>
      <c r="B343" s="658" t="s">
        <v>498</v>
      </c>
      <c r="C343" s="700" t="s">
        <v>1410</v>
      </c>
      <c r="D343" s="659" t="s">
        <v>1411</v>
      </c>
      <c r="E343" s="662"/>
      <c r="F343" s="662"/>
      <c r="G343" s="662"/>
    </row>
    <row r="344" spans="1:7">
      <c r="A344" s="698"/>
      <c r="B344" s="658" t="s">
        <v>498</v>
      </c>
      <c r="C344" s="700" t="s">
        <v>1412</v>
      </c>
      <c r="D344" s="662" t="s">
        <v>1413</v>
      </c>
      <c r="E344" s="662"/>
      <c r="F344" s="662"/>
      <c r="G344" s="662"/>
    </row>
    <row r="345" spans="1:7">
      <c r="A345" s="698"/>
      <c r="B345" s="658" t="s">
        <v>498</v>
      </c>
      <c r="C345" s="700" t="s">
        <v>1414</v>
      </c>
      <c r="D345" s="662" t="s">
        <v>1415</v>
      </c>
      <c r="E345" s="662"/>
      <c r="F345" s="662"/>
      <c r="G345" s="662"/>
    </row>
    <row r="346" spans="1:7">
      <c r="A346" s="698"/>
      <c r="B346" s="658" t="s">
        <v>498</v>
      </c>
      <c r="C346" s="700" t="s">
        <v>1416</v>
      </c>
      <c r="D346" s="662" t="s">
        <v>1417</v>
      </c>
      <c r="E346" s="662"/>
      <c r="F346" s="662"/>
      <c r="G346" s="662"/>
    </row>
    <row r="347" spans="1:7">
      <c r="A347" s="698"/>
      <c r="B347" s="658" t="s">
        <v>498</v>
      </c>
      <c r="C347" s="700" t="s">
        <v>1418</v>
      </c>
      <c r="D347" s="662" t="s">
        <v>1419</v>
      </c>
      <c r="E347" s="662"/>
      <c r="F347" s="662"/>
      <c r="G347" s="662"/>
    </row>
    <row r="348" spans="1:7">
      <c r="A348" s="698"/>
      <c r="B348" s="658" t="s">
        <v>498</v>
      </c>
      <c r="C348" s="700" t="s">
        <v>1420</v>
      </c>
      <c r="D348" s="662" t="s">
        <v>1421</v>
      </c>
      <c r="E348" s="662"/>
      <c r="F348" s="662"/>
      <c r="G348" s="662"/>
    </row>
    <row r="349" spans="1:7">
      <c r="A349" s="698"/>
      <c r="B349" s="658" t="s">
        <v>498</v>
      </c>
      <c r="C349" s="700" t="s">
        <v>1422</v>
      </c>
      <c r="D349" s="662" t="s">
        <v>1423</v>
      </c>
      <c r="E349" s="662"/>
      <c r="F349" s="662"/>
      <c r="G349" s="662"/>
    </row>
    <row r="350" spans="1:7">
      <c r="A350" s="698"/>
      <c r="B350" s="658" t="s">
        <v>498</v>
      </c>
      <c r="C350" s="700" t="s">
        <v>1424</v>
      </c>
      <c r="D350" s="662" t="s">
        <v>1425</v>
      </c>
      <c r="E350" s="662"/>
      <c r="F350" s="662"/>
      <c r="G350" s="662"/>
    </row>
    <row r="351" spans="1:7">
      <c r="B351" s="658" t="s">
        <v>610</v>
      </c>
      <c r="C351" s="700" t="s">
        <v>1426</v>
      </c>
      <c r="D351" s="662" t="s">
        <v>1427</v>
      </c>
      <c r="E351" s="662"/>
      <c r="F351" s="662"/>
      <c r="G351" s="662"/>
    </row>
    <row r="352" spans="1:7">
      <c r="B352" s="658" t="s">
        <v>1636</v>
      </c>
      <c r="C352" s="700" t="s">
        <v>1428</v>
      </c>
      <c r="D352" s="662" t="s">
        <v>1429</v>
      </c>
      <c r="E352" s="662"/>
      <c r="F352" s="662"/>
      <c r="G352" s="662"/>
    </row>
    <row r="353" spans="1:7">
      <c r="B353" s="658" t="s">
        <v>1637</v>
      </c>
      <c r="C353" s="700" t="s">
        <v>1432</v>
      </c>
      <c r="D353" s="662" t="s">
        <v>1433</v>
      </c>
      <c r="E353" s="662"/>
      <c r="F353" s="662"/>
      <c r="G353" s="662"/>
    </row>
    <row r="354" spans="1:7">
      <c r="A354" s="658" t="s">
        <v>1638</v>
      </c>
      <c r="C354" s="664" t="s">
        <v>709</v>
      </c>
      <c r="D354" s="662">
        <v>999999</v>
      </c>
      <c r="E354" s="662"/>
      <c r="F354" s="662"/>
      <c r="G354" s="662"/>
    </row>
    <row r="355" spans="1:7">
      <c r="D355" s="662"/>
      <c r="E355" s="662"/>
      <c r="F355" s="662"/>
      <c r="G355" s="662"/>
    </row>
    <row r="356" spans="1:7">
      <c r="A356" s="694" t="s">
        <v>730</v>
      </c>
      <c r="B356" s="692"/>
      <c r="C356" s="692"/>
      <c r="D356" s="662"/>
      <c r="E356" s="662"/>
      <c r="F356" s="662"/>
      <c r="G356" s="662"/>
    </row>
    <row r="357" spans="1:7">
      <c r="A357" s="702"/>
      <c r="D357" s="662"/>
      <c r="E357" s="662"/>
      <c r="F357" s="662"/>
      <c r="G357" s="662"/>
    </row>
    <row r="358" spans="1:7">
      <c r="A358" s="702" t="s">
        <v>1173</v>
      </c>
      <c r="D358" s="662"/>
      <c r="E358" s="662"/>
      <c r="F358" s="662"/>
      <c r="G358" s="662"/>
    </row>
    <row r="359" spans="1:7">
      <c r="A359" s="702" t="s">
        <v>1174</v>
      </c>
      <c r="D359" s="662"/>
      <c r="E359" s="662"/>
      <c r="F359" s="662"/>
      <c r="G359" s="662"/>
    </row>
    <row r="360" spans="1:7">
      <c r="A360" s="702" t="s">
        <v>1175</v>
      </c>
      <c r="D360" s="662"/>
      <c r="E360" s="662"/>
      <c r="F360" s="662"/>
      <c r="G360" s="662"/>
    </row>
    <row r="361" spans="1:7">
      <c r="A361" s="702" t="s">
        <v>1176</v>
      </c>
      <c r="D361" s="662"/>
      <c r="E361" s="662"/>
      <c r="F361" s="662"/>
      <c r="G361" s="662"/>
    </row>
    <row r="362" spans="1:7">
      <c r="A362" s="702" t="s">
        <v>1177</v>
      </c>
      <c r="D362" s="662"/>
      <c r="E362" s="662"/>
      <c r="F362" s="662"/>
      <c r="G362" s="662"/>
    </row>
    <row r="363" spans="1:7">
      <c r="A363" s="702" t="s">
        <v>1178</v>
      </c>
      <c r="D363" s="662"/>
      <c r="E363" s="662"/>
      <c r="F363" s="662"/>
      <c r="G363" s="662"/>
    </row>
    <row r="364" spans="1:7">
      <c r="A364" s="702" t="s">
        <v>1179</v>
      </c>
      <c r="D364" s="662"/>
      <c r="E364" s="662"/>
      <c r="F364" s="662"/>
      <c r="G364" s="662"/>
    </row>
    <row r="365" spans="1:7">
      <c r="D365" s="662"/>
      <c r="E365" s="662"/>
      <c r="F365" s="662"/>
      <c r="G365" s="662"/>
    </row>
    <row r="366" spans="1:7">
      <c r="A366" s="694" t="s">
        <v>747</v>
      </c>
      <c r="B366" s="692"/>
      <c r="C366" s="692"/>
      <c r="D366" s="662"/>
      <c r="E366" s="662"/>
      <c r="F366" s="662"/>
      <c r="G366" s="662"/>
    </row>
    <row r="367" spans="1:7">
      <c r="D367" s="662"/>
      <c r="E367" s="662"/>
      <c r="F367" s="662"/>
      <c r="G367" s="662"/>
    </row>
    <row r="368" spans="1:7">
      <c r="A368" s="658" t="s">
        <v>867</v>
      </c>
      <c r="D368" s="662"/>
      <c r="E368" s="662"/>
      <c r="F368" s="662"/>
      <c r="G368" s="662"/>
    </row>
    <row r="369" spans="1:7">
      <c r="A369" s="658" t="s">
        <v>870</v>
      </c>
      <c r="D369" s="662"/>
      <c r="E369" s="662"/>
      <c r="F369" s="662"/>
      <c r="G369" s="662"/>
    </row>
    <row r="370" spans="1:7">
      <c r="D370" s="662"/>
      <c r="E370" s="662"/>
      <c r="F370" s="662"/>
      <c r="G370" s="662"/>
    </row>
    <row r="371" spans="1:7">
      <c r="A371" s="694" t="s">
        <v>1947</v>
      </c>
      <c r="B371" s="692"/>
      <c r="C371" s="692"/>
      <c r="D371" s="1356"/>
      <c r="E371" s="1356"/>
    </row>
    <row r="372" spans="1:7">
      <c r="A372" s="3"/>
      <c r="C372" s="1357"/>
      <c r="D372" s="1356"/>
      <c r="E372" s="1356"/>
    </row>
    <row r="373" spans="1:7">
      <c r="A373" s="702" t="s">
        <v>1948</v>
      </c>
      <c r="C373" s="1357"/>
      <c r="D373" s="1356"/>
      <c r="E373" s="1356"/>
    </row>
    <row r="374" spans="1:7">
      <c r="A374" s="702" t="s">
        <v>1949</v>
      </c>
      <c r="C374" s="1357"/>
      <c r="D374" s="1356"/>
      <c r="E374" s="1356"/>
    </row>
    <row r="375" spans="1:7">
      <c r="D375" s="662"/>
      <c r="E375" s="662"/>
      <c r="F375" s="662"/>
      <c r="G375" s="662"/>
    </row>
    <row r="376" spans="1:7" ht="14.25">
      <c r="A376" s="657" t="s">
        <v>817</v>
      </c>
      <c r="B376" s="693"/>
      <c r="C376" s="693"/>
      <c r="D376" s="662"/>
      <c r="E376" s="662"/>
      <c r="F376" s="662"/>
      <c r="G376" s="662"/>
    </row>
    <row r="377" spans="1:7">
      <c r="D377" s="662"/>
      <c r="E377" s="662"/>
      <c r="F377" s="662"/>
      <c r="G377" s="662"/>
    </row>
    <row r="378" spans="1:7">
      <c r="A378" s="694" t="s">
        <v>818</v>
      </c>
      <c r="B378" s="692"/>
      <c r="C378" s="692"/>
      <c r="D378" s="662"/>
      <c r="E378" s="662"/>
      <c r="F378" s="662"/>
      <c r="G378" s="662"/>
    </row>
    <row r="379" spans="1:7">
      <c r="D379" s="662"/>
      <c r="E379" s="662"/>
      <c r="F379" s="662"/>
      <c r="G379" s="662"/>
    </row>
    <row r="380" spans="1:7">
      <c r="A380" s="658" t="s">
        <v>65</v>
      </c>
      <c r="D380" s="662"/>
      <c r="E380" s="662"/>
      <c r="F380" s="662"/>
      <c r="G380" s="662"/>
    </row>
    <row r="381" spans="1:7">
      <c r="A381" s="658" t="s">
        <v>66</v>
      </c>
      <c r="D381" s="662"/>
      <c r="E381" s="662"/>
      <c r="F381" s="662"/>
      <c r="G381" s="662"/>
    </row>
    <row r="382" spans="1:7">
      <c r="A382" s="658" t="s">
        <v>839</v>
      </c>
      <c r="D382" s="662"/>
      <c r="E382" s="662"/>
      <c r="F382" s="662"/>
      <c r="G382" s="662"/>
    </row>
    <row r="383" spans="1:7">
      <c r="A383" s="658" t="s">
        <v>783</v>
      </c>
      <c r="D383" s="662"/>
      <c r="E383" s="662"/>
      <c r="F383" s="662"/>
      <c r="G383" s="662"/>
    </row>
    <row r="384" spans="1:7">
      <c r="A384" s="658" t="s">
        <v>780</v>
      </c>
      <c r="D384" s="662"/>
      <c r="E384" s="662"/>
      <c r="F384" s="662"/>
      <c r="G384" s="662"/>
    </row>
    <row r="385" spans="1:7">
      <c r="D385" s="662"/>
      <c r="E385" s="662"/>
      <c r="F385" s="662"/>
      <c r="G385" s="662"/>
    </row>
    <row r="386" spans="1:7">
      <c r="A386" s="694" t="s">
        <v>819</v>
      </c>
      <c r="B386" s="692"/>
      <c r="C386" s="692"/>
      <c r="D386" s="662"/>
      <c r="E386" s="662"/>
      <c r="F386" s="662"/>
      <c r="G386" s="662"/>
    </row>
    <row r="387" spans="1:7">
      <c r="D387" s="662"/>
      <c r="E387" s="662"/>
      <c r="F387" s="662"/>
      <c r="G387" s="662"/>
    </row>
    <row r="388" spans="1:7">
      <c r="A388" s="658">
        <v>1</v>
      </c>
      <c r="D388" s="662"/>
      <c r="E388" s="662"/>
      <c r="F388" s="662"/>
      <c r="G388" s="662"/>
    </row>
    <row r="389" spans="1:7">
      <c r="A389" s="658">
        <v>2</v>
      </c>
      <c r="D389" s="662"/>
      <c r="E389" s="662"/>
      <c r="F389" s="662"/>
      <c r="G389" s="662"/>
    </row>
    <row r="390" spans="1:7">
      <c r="A390" s="658">
        <v>5</v>
      </c>
      <c r="D390" s="662"/>
      <c r="E390" s="662"/>
      <c r="F390" s="662"/>
      <c r="G390" s="662"/>
    </row>
    <row r="391" spans="1:7">
      <c r="A391" s="658">
        <v>7</v>
      </c>
      <c r="D391" s="662"/>
      <c r="E391" s="662"/>
      <c r="F391" s="662"/>
      <c r="G391" s="662"/>
    </row>
    <row r="392" spans="1:7">
      <c r="A392" s="658">
        <v>8</v>
      </c>
      <c r="D392" s="662"/>
      <c r="E392" s="662"/>
      <c r="F392" s="662"/>
      <c r="G392" s="662"/>
    </row>
    <row r="393" spans="1:7">
      <c r="A393" s="658">
        <v>9</v>
      </c>
      <c r="D393" s="662"/>
      <c r="E393" s="662"/>
      <c r="F393" s="662"/>
      <c r="G393" s="662"/>
    </row>
    <row r="394" spans="1:7">
      <c r="A394" s="658" t="s">
        <v>193</v>
      </c>
      <c r="D394" s="662"/>
      <c r="E394" s="662"/>
      <c r="F394" s="662"/>
      <c r="G394" s="662"/>
    </row>
    <row r="395" spans="1:7">
      <c r="D395" s="662"/>
      <c r="E395" s="662"/>
      <c r="F395" s="662"/>
      <c r="G395" s="662"/>
    </row>
    <row r="396" spans="1:7">
      <c r="A396" s="694" t="s">
        <v>636</v>
      </c>
      <c r="B396" s="692"/>
      <c r="C396" s="692"/>
      <c r="D396" s="662"/>
      <c r="E396" s="662"/>
      <c r="F396" s="662"/>
      <c r="G396" s="662"/>
    </row>
    <row r="397" spans="1:7">
      <c r="D397" s="662"/>
      <c r="E397" s="662"/>
      <c r="F397" s="662"/>
      <c r="G397" s="662"/>
    </row>
    <row r="398" spans="1:7">
      <c r="A398" s="658" t="s">
        <v>254</v>
      </c>
      <c r="D398" s="662"/>
      <c r="E398" s="662"/>
      <c r="F398" s="662"/>
      <c r="G398" s="662"/>
    </row>
    <row r="399" spans="1:7">
      <c r="A399" s="658" t="s">
        <v>255</v>
      </c>
      <c r="D399" s="662"/>
      <c r="E399" s="662"/>
      <c r="F399" s="662"/>
      <c r="G399" s="662"/>
    </row>
    <row r="400" spans="1:7">
      <c r="D400" s="662"/>
      <c r="E400" s="662"/>
      <c r="F400" s="662"/>
      <c r="G400" s="662"/>
    </row>
    <row r="401" spans="1:7" ht="14.25">
      <c r="A401" s="657" t="s">
        <v>820</v>
      </c>
      <c r="B401" s="693"/>
      <c r="C401" s="693"/>
      <c r="D401" s="662"/>
      <c r="E401" s="662"/>
      <c r="F401" s="662"/>
      <c r="G401" s="662"/>
    </row>
    <row r="402" spans="1:7">
      <c r="A402" s="694" t="s">
        <v>414</v>
      </c>
      <c r="B402" s="692"/>
      <c r="C402" s="692"/>
    </row>
    <row r="404" spans="1:7">
      <c r="A404" s="658" t="s">
        <v>420</v>
      </c>
    </row>
    <row r="405" spans="1:7">
      <c r="A405" s="658" t="s">
        <v>425</v>
      </c>
    </row>
    <row r="406" spans="1:7">
      <c r="D406" s="662"/>
      <c r="E406" s="662"/>
      <c r="F406" s="662"/>
      <c r="G406" s="662"/>
    </row>
    <row r="407" spans="1:7">
      <c r="A407" s="694" t="s">
        <v>821</v>
      </c>
      <c r="B407" s="692"/>
      <c r="C407" s="692"/>
      <c r="D407" s="662"/>
      <c r="E407" s="662"/>
      <c r="F407" s="662"/>
      <c r="G407" s="662"/>
    </row>
    <row r="408" spans="1:7">
      <c r="D408" s="662"/>
      <c r="E408" s="662"/>
      <c r="F408" s="662"/>
      <c r="G408" s="662"/>
    </row>
    <row r="409" spans="1:7">
      <c r="A409" s="658" t="s">
        <v>299</v>
      </c>
      <c r="D409" s="662"/>
      <c r="E409" s="662"/>
      <c r="F409" s="662"/>
      <c r="G409" s="662"/>
    </row>
    <row r="410" spans="1:7">
      <c r="A410" s="658" t="s">
        <v>300</v>
      </c>
      <c r="D410" s="662"/>
      <c r="E410" s="662"/>
      <c r="F410" s="662"/>
      <c r="G410" s="662"/>
    </row>
    <row r="411" spans="1:7">
      <c r="A411" s="658" t="s">
        <v>263</v>
      </c>
      <c r="D411" s="662"/>
      <c r="E411" s="662"/>
      <c r="F411" s="662"/>
      <c r="G411" s="662"/>
    </row>
    <row r="412" spans="1:7">
      <c r="A412" s="658" t="s">
        <v>264</v>
      </c>
      <c r="D412" s="662"/>
      <c r="E412" s="662"/>
      <c r="F412" s="662"/>
      <c r="G412" s="662"/>
    </row>
    <row r="413" spans="1:7">
      <c r="A413" s="658" t="s">
        <v>265</v>
      </c>
      <c r="D413" s="662"/>
      <c r="E413" s="662"/>
      <c r="F413" s="662"/>
      <c r="G413" s="662"/>
    </row>
    <row r="414" spans="1:7">
      <c r="D414" s="662"/>
      <c r="E414" s="662"/>
      <c r="F414" s="662"/>
      <c r="G414" s="662"/>
    </row>
    <row r="415" spans="1:7">
      <c r="A415" s="694" t="s">
        <v>5300</v>
      </c>
      <c r="B415" s="692"/>
      <c r="C415" s="692"/>
    </row>
    <row r="417" spans="1:7">
      <c r="A417" s="658" t="s">
        <v>5301</v>
      </c>
    </row>
    <row r="418" spans="1:7">
      <c r="A418" s="658" t="s">
        <v>5302</v>
      </c>
    </row>
    <row r="419" spans="1:7">
      <c r="A419" s="658" t="s">
        <v>5303</v>
      </c>
    </row>
    <row r="421" spans="1:7" ht="14.25">
      <c r="A421" s="657" t="s">
        <v>822</v>
      </c>
      <c r="B421" s="693"/>
      <c r="C421" s="693"/>
      <c r="D421" s="662"/>
      <c r="E421" s="662"/>
      <c r="F421" s="662"/>
      <c r="G421" s="662"/>
    </row>
    <row r="422" spans="1:7">
      <c r="D422" s="662"/>
      <c r="E422" s="662"/>
      <c r="F422" s="662"/>
      <c r="G422" s="662"/>
    </row>
    <row r="423" spans="1:7">
      <c r="A423" s="694" t="s">
        <v>411</v>
      </c>
      <c r="B423" s="692"/>
      <c r="C423" s="692"/>
      <c r="D423" s="662"/>
      <c r="E423" s="662"/>
      <c r="F423" s="662"/>
      <c r="G423" s="662"/>
    </row>
    <row r="424" spans="1:7">
      <c r="A424" s="664"/>
      <c r="D424" s="662"/>
      <c r="E424" s="662"/>
      <c r="F424" s="662"/>
      <c r="G424" s="662"/>
    </row>
    <row r="425" spans="1:7">
      <c r="A425" s="664" t="s">
        <v>416</v>
      </c>
      <c r="D425" s="662"/>
      <c r="E425" s="662"/>
      <c r="F425" s="662"/>
      <c r="G425" s="662"/>
    </row>
    <row r="426" spans="1:7">
      <c r="A426" s="664" t="s">
        <v>422</v>
      </c>
      <c r="D426" s="662"/>
      <c r="E426" s="662"/>
      <c r="F426" s="662"/>
      <c r="G426" s="662"/>
    </row>
    <row r="427" spans="1:7">
      <c r="A427" s="664"/>
      <c r="D427" s="662"/>
      <c r="E427" s="662"/>
      <c r="F427" s="662"/>
      <c r="G427" s="662"/>
    </row>
    <row r="428" spans="1:7">
      <c r="A428" s="701" t="s">
        <v>412</v>
      </c>
      <c r="B428" s="692"/>
      <c r="C428" s="692"/>
      <c r="D428" s="662"/>
      <c r="E428" s="662"/>
      <c r="F428" s="662"/>
      <c r="G428" s="662"/>
    </row>
    <row r="429" spans="1:7">
      <c r="A429" s="664"/>
      <c r="D429" s="662"/>
      <c r="E429" s="662"/>
      <c r="F429" s="662"/>
      <c r="G429" s="662"/>
    </row>
    <row r="430" spans="1:7">
      <c r="A430" s="664" t="s">
        <v>417</v>
      </c>
      <c r="D430" s="662"/>
      <c r="E430" s="662"/>
      <c r="F430" s="662"/>
      <c r="G430" s="662"/>
    </row>
    <row r="431" spans="1:7">
      <c r="A431" s="664" t="s">
        <v>423</v>
      </c>
      <c r="D431" s="662"/>
      <c r="E431" s="662"/>
      <c r="F431" s="662"/>
      <c r="G431" s="662"/>
    </row>
    <row r="432" spans="1:7">
      <c r="A432" s="664" t="s">
        <v>997</v>
      </c>
      <c r="D432" s="662"/>
      <c r="E432" s="662"/>
      <c r="F432" s="662"/>
      <c r="G432" s="662"/>
    </row>
    <row r="433" spans="1:7">
      <c r="A433" s="664"/>
      <c r="D433" s="662"/>
      <c r="E433" s="662"/>
      <c r="F433" s="662"/>
      <c r="G433" s="662"/>
    </row>
    <row r="434" spans="1:7">
      <c r="A434" s="701" t="s">
        <v>413</v>
      </c>
      <c r="B434" s="692"/>
      <c r="C434" s="692"/>
      <c r="D434" s="662"/>
      <c r="E434" s="662"/>
      <c r="F434" s="662"/>
      <c r="G434" s="662"/>
    </row>
    <row r="435" spans="1:7">
      <c r="A435" s="664"/>
      <c r="D435" s="662"/>
      <c r="E435" s="662"/>
      <c r="F435" s="662"/>
      <c r="G435" s="662"/>
    </row>
    <row r="436" spans="1:7">
      <c r="A436" s="664" t="s">
        <v>418</v>
      </c>
      <c r="D436" s="662"/>
      <c r="E436" s="662"/>
      <c r="F436" s="662"/>
      <c r="G436" s="662"/>
    </row>
    <row r="437" spans="1:7">
      <c r="A437" s="664" t="s">
        <v>30</v>
      </c>
      <c r="D437" s="662"/>
      <c r="E437" s="662"/>
      <c r="F437" s="662"/>
      <c r="G437" s="662"/>
    </row>
    <row r="438" spans="1:7">
      <c r="A438" s="664"/>
      <c r="D438" s="662"/>
      <c r="E438" s="662"/>
      <c r="F438" s="662"/>
      <c r="G438" s="662"/>
    </row>
    <row r="439" spans="1:7">
      <c r="A439" s="701" t="s">
        <v>840</v>
      </c>
      <c r="B439" s="692"/>
      <c r="C439" s="692"/>
      <c r="D439" s="662"/>
      <c r="E439" s="662"/>
      <c r="F439" s="662"/>
      <c r="G439" s="662"/>
    </row>
    <row r="440" spans="1:7">
      <c r="A440" s="664"/>
      <c r="D440" s="662"/>
      <c r="E440" s="662"/>
      <c r="F440" s="662"/>
      <c r="G440" s="662"/>
    </row>
    <row r="441" spans="1:7">
      <c r="A441" s="664" t="s">
        <v>419</v>
      </c>
      <c r="D441" s="662"/>
      <c r="E441" s="662"/>
      <c r="F441" s="662"/>
      <c r="G441" s="662"/>
    </row>
    <row r="442" spans="1:7">
      <c r="A442" s="664" t="s">
        <v>424</v>
      </c>
      <c r="D442" s="662"/>
      <c r="E442" s="662"/>
      <c r="F442" s="662"/>
      <c r="G442" s="662"/>
    </row>
    <row r="443" spans="1:7">
      <c r="A443" s="664"/>
      <c r="D443" s="662"/>
      <c r="E443" s="662"/>
      <c r="F443" s="662"/>
      <c r="G443" s="662"/>
    </row>
    <row r="444" spans="1:7">
      <c r="A444" s="701" t="s">
        <v>414</v>
      </c>
      <c r="B444" s="692"/>
      <c r="C444" s="692"/>
      <c r="D444" s="662"/>
      <c r="E444" s="662"/>
      <c r="F444" s="662"/>
      <c r="G444" s="662"/>
    </row>
    <row r="445" spans="1:7">
      <c r="A445" s="664"/>
      <c r="D445" s="659"/>
      <c r="E445" s="662"/>
      <c r="F445" s="662"/>
      <c r="G445" s="662"/>
    </row>
    <row r="446" spans="1:7">
      <c r="A446" s="664" t="s">
        <v>420</v>
      </c>
      <c r="D446" s="662"/>
      <c r="E446" s="662"/>
      <c r="F446" s="662"/>
      <c r="G446" s="662"/>
    </row>
    <row r="447" spans="1:7">
      <c r="A447" s="664" t="s">
        <v>425</v>
      </c>
    </row>
    <row r="448" spans="1:7">
      <c r="A448" s="664"/>
    </row>
    <row r="449" spans="1:3">
      <c r="A449" s="701" t="s">
        <v>415</v>
      </c>
      <c r="B449" s="692"/>
      <c r="C449" s="692"/>
    </row>
    <row r="450" spans="1:3">
      <c r="A450" s="664"/>
    </row>
    <row r="451" spans="1:3">
      <c r="A451" s="664" t="s">
        <v>421</v>
      </c>
    </row>
    <row r="452" spans="1:3">
      <c r="A452" s="664" t="s">
        <v>426</v>
      </c>
    </row>
    <row r="453" spans="1:3">
      <c r="A453" s="664" t="s">
        <v>427</v>
      </c>
    </row>
    <row r="454" spans="1:3">
      <c r="A454" s="664" t="s">
        <v>428</v>
      </c>
    </row>
    <row r="455" spans="1:3">
      <c r="A455" s="664"/>
    </row>
    <row r="457" spans="1:3" ht="14.25">
      <c r="A457" s="657" t="s">
        <v>141</v>
      </c>
      <c r="B457" s="693"/>
      <c r="C457" s="693"/>
    </row>
    <row r="459" spans="1:3">
      <c r="A459" s="701" t="s">
        <v>823</v>
      </c>
      <c r="B459" s="692"/>
      <c r="C459" s="692"/>
    </row>
    <row r="460" spans="1:3">
      <c r="A460" s="666"/>
    </row>
    <row r="461" spans="1:3">
      <c r="A461" s="666" t="s">
        <v>356</v>
      </c>
    </row>
    <row r="462" spans="1:3">
      <c r="A462" s="666" t="s">
        <v>210</v>
      </c>
    </row>
    <row r="463" spans="1:3">
      <c r="A463" s="666"/>
    </row>
    <row r="464" spans="1:3">
      <c r="A464" s="701" t="s">
        <v>901</v>
      </c>
      <c r="B464" s="692"/>
      <c r="C464" s="692"/>
    </row>
    <row r="465" spans="1:3">
      <c r="A465" s="666"/>
    </row>
    <row r="466" spans="1:3">
      <c r="A466" s="666" t="s">
        <v>1457</v>
      </c>
    </row>
    <row r="467" spans="1:3">
      <c r="A467" s="666" t="s">
        <v>1458</v>
      </c>
    </row>
    <row r="468" spans="1:3">
      <c r="A468" s="666" t="s">
        <v>1459</v>
      </c>
    </row>
    <row r="469" spans="1:3">
      <c r="A469" s="666" t="s">
        <v>1460</v>
      </c>
    </row>
    <row r="470" spans="1:3">
      <c r="A470" s="666" t="s">
        <v>1461</v>
      </c>
    </row>
    <row r="471" spans="1:3">
      <c r="A471" s="666" t="s">
        <v>1462</v>
      </c>
    </row>
    <row r="472" spans="1:3">
      <c r="A472" s="666"/>
    </row>
    <row r="473" spans="1:3">
      <c r="A473" s="701" t="s">
        <v>810</v>
      </c>
      <c r="B473" s="692"/>
      <c r="C473" s="692"/>
    </row>
    <row r="474" spans="1:3">
      <c r="A474" s="666"/>
    </row>
    <row r="475" spans="1:3">
      <c r="A475" s="666" t="s">
        <v>907</v>
      </c>
    </row>
    <row r="476" spans="1:3">
      <c r="A476" s="666" t="s">
        <v>908</v>
      </c>
    </row>
    <row r="477" spans="1:3">
      <c r="A477" s="666" t="s">
        <v>909</v>
      </c>
    </row>
    <row r="478" spans="1:3">
      <c r="A478" s="666" t="s">
        <v>910</v>
      </c>
    </row>
    <row r="479" spans="1:3">
      <c r="A479" s="666" t="s">
        <v>824</v>
      </c>
    </row>
    <row r="480" spans="1:3">
      <c r="A480" s="666" t="s">
        <v>825</v>
      </c>
    </row>
    <row r="481" spans="1:3">
      <c r="A481" s="666"/>
    </row>
    <row r="482" spans="1:3">
      <c r="A482" s="701" t="s">
        <v>815</v>
      </c>
      <c r="B482" s="692"/>
      <c r="C482" s="692"/>
    </row>
    <row r="483" spans="1:3">
      <c r="A483" s="666"/>
      <c r="C483" s="666"/>
    </row>
    <row r="484" spans="1:3">
      <c r="A484" s="666" t="s">
        <v>639</v>
      </c>
    </row>
    <row r="485" spans="1:3">
      <c r="A485" s="666" t="s">
        <v>640</v>
      </c>
    </row>
    <row r="486" spans="1:3">
      <c r="A486" s="666" t="s">
        <v>641</v>
      </c>
    </row>
    <row r="487" spans="1:3">
      <c r="A487" s="666" t="s">
        <v>30</v>
      </c>
    </row>
    <row r="489" spans="1:3" ht="14.25">
      <c r="A489" s="657" t="s">
        <v>102</v>
      </c>
      <c r="B489" s="693"/>
      <c r="C489" s="693"/>
    </row>
    <row r="491" spans="1:3">
      <c r="A491" s="701" t="s">
        <v>102</v>
      </c>
      <c r="B491" s="692"/>
      <c r="C491" s="692"/>
    </row>
    <row r="493" spans="1:3">
      <c r="A493" s="42" t="s">
        <v>1051</v>
      </c>
    </row>
    <row r="494" spans="1:3">
      <c r="A494" s="42" t="s">
        <v>1052</v>
      </c>
    </row>
    <row r="495" spans="1:3">
      <c r="A495" s="42" t="s">
        <v>1053</v>
      </c>
      <c r="B495" s="704"/>
    </row>
    <row r="496" spans="1:3">
      <c r="A496" s="42" t="s">
        <v>1054</v>
      </c>
      <c r="B496" s="704"/>
    </row>
    <row r="497" spans="1:3">
      <c r="A497" s="42" t="s">
        <v>1055</v>
      </c>
      <c r="B497" s="704"/>
    </row>
    <row r="498" spans="1:3">
      <c r="A498" s="42" t="s">
        <v>1056</v>
      </c>
      <c r="B498" s="704"/>
    </row>
    <row r="499" spans="1:3">
      <c r="A499" s="239" t="s">
        <v>1058</v>
      </c>
      <c r="B499" s="704"/>
    </row>
    <row r="500" spans="1:3">
      <c r="A500" s="239" t="s">
        <v>1060</v>
      </c>
      <c r="B500" s="704"/>
    </row>
    <row r="501" spans="1:3">
      <c r="A501" s="239" t="s">
        <v>1062</v>
      </c>
      <c r="B501" s="704"/>
    </row>
    <row r="503" spans="1:3">
      <c r="A503" s="701" t="s">
        <v>802</v>
      </c>
      <c r="B503" s="692"/>
      <c r="C503" s="692"/>
    </row>
    <row r="505" spans="1:3">
      <c r="A505" s="658" t="s">
        <v>284</v>
      </c>
    </row>
    <row r="507" spans="1:3" ht="14.25">
      <c r="A507" s="657" t="s">
        <v>826</v>
      </c>
      <c r="B507" s="693"/>
      <c r="C507" s="693"/>
    </row>
    <row r="509" spans="1:3">
      <c r="A509" s="701" t="s">
        <v>812</v>
      </c>
      <c r="B509" s="692"/>
      <c r="C509" s="692"/>
    </row>
    <row r="511" spans="1:3">
      <c r="A511" s="704" t="s">
        <v>280</v>
      </c>
    </row>
    <row r="512" spans="1:3">
      <c r="A512" s="704" t="s">
        <v>281</v>
      </c>
    </row>
    <row r="513" spans="1:8">
      <c r="A513" s="704"/>
    </row>
    <row r="514" spans="1:8">
      <c r="A514" s="701" t="s">
        <v>813</v>
      </c>
      <c r="B514" s="692"/>
      <c r="C514" s="692"/>
    </row>
    <row r="515" spans="1:8">
      <c r="A515" s="704"/>
    </row>
    <row r="516" spans="1:8">
      <c r="A516" s="704" t="s">
        <v>827</v>
      </c>
    </row>
    <row r="517" spans="1:8">
      <c r="A517" s="704" t="s">
        <v>1001</v>
      </c>
    </row>
    <row r="519" spans="1:8" ht="14.25">
      <c r="A519" s="657" t="s">
        <v>814</v>
      </c>
      <c r="B519" s="693"/>
      <c r="C519" s="693"/>
    </row>
    <row r="521" spans="1:8">
      <c r="A521" s="701" t="s">
        <v>634</v>
      </c>
      <c r="B521" s="701"/>
      <c r="C521" s="692"/>
    </row>
    <row r="522" spans="1:8">
      <c r="A522" s="705"/>
      <c r="B522" s="705"/>
    </row>
    <row r="523" spans="1:8">
      <c r="A523" s="705" t="s">
        <v>841</v>
      </c>
      <c r="B523" s="705"/>
    </row>
    <row r="524" spans="1:8">
      <c r="A524" s="1325" t="s">
        <v>1933</v>
      </c>
      <c r="B524" s="1325"/>
      <c r="D524" s="1250"/>
      <c r="F524" s="1250"/>
      <c r="H524" s="1250"/>
    </row>
    <row r="525" spans="1:8">
      <c r="A525" s="1325" t="s">
        <v>1934</v>
      </c>
      <c r="B525" s="1325"/>
      <c r="D525" s="1250"/>
      <c r="F525" s="1250"/>
      <c r="H525" s="1250"/>
    </row>
    <row r="526" spans="1:8">
      <c r="A526" s="1325" t="s">
        <v>30</v>
      </c>
      <c r="B526" s="1325"/>
      <c r="D526" s="1250"/>
      <c r="F526" s="1250"/>
      <c r="H526" s="1250"/>
    </row>
    <row r="527" spans="1:8">
      <c r="A527" s="705"/>
      <c r="B527" s="705"/>
    </row>
    <row r="528" spans="1:8">
      <c r="A528" s="1326" t="s">
        <v>1935</v>
      </c>
      <c r="B528" s="1326" t="s">
        <v>152</v>
      </c>
      <c r="C528" s="1326" t="s">
        <v>1936</v>
      </c>
      <c r="D528" s="1250"/>
      <c r="F528" s="1250"/>
      <c r="H528" s="1250"/>
    </row>
    <row r="529" spans="1:8">
      <c r="A529" s="1325"/>
      <c r="B529" s="1325"/>
      <c r="D529" s="1250"/>
      <c r="F529" s="1250"/>
      <c r="H529" s="1250"/>
    </row>
    <row r="530" spans="1:8">
      <c r="A530" s="1325" t="s">
        <v>1937</v>
      </c>
      <c r="B530" s="1325"/>
      <c r="D530" s="1250"/>
      <c r="F530" s="1250"/>
      <c r="H530" s="1250"/>
    </row>
    <row r="531" spans="1:8">
      <c r="A531" s="1325" t="s">
        <v>1938</v>
      </c>
      <c r="B531" s="1325"/>
      <c r="D531" s="1250"/>
      <c r="F531" s="1250"/>
      <c r="H531" s="1250"/>
    </row>
    <row r="532" spans="1:8">
      <c r="A532" s="1325" t="s">
        <v>5328</v>
      </c>
      <c r="B532" s="1325"/>
      <c r="D532" s="1250"/>
      <c r="F532" s="1250"/>
      <c r="H532" s="1250"/>
    </row>
    <row r="533" spans="1:8">
      <c r="A533" s="1325" t="s">
        <v>5329</v>
      </c>
      <c r="B533" s="1325"/>
      <c r="D533" s="1250"/>
      <c r="F533" s="1250"/>
      <c r="H533" s="1250"/>
    </row>
    <row r="534" spans="1:8">
      <c r="A534" s="1325" t="s">
        <v>5330</v>
      </c>
      <c r="B534" s="1325"/>
      <c r="D534" s="1250"/>
      <c r="F534" s="1250"/>
      <c r="H534" s="1250"/>
    </row>
    <row r="535" spans="1:8">
      <c r="A535" s="1325" t="s">
        <v>5331</v>
      </c>
      <c r="B535" s="1325"/>
      <c r="D535" s="1250"/>
      <c r="F535" s="1250"/>
      <c r="H535" s="1250"/>
    </row>
    <row r="536" spans="1:8">
      <c r="A536" s="1325" t="s">
        <v>5332</v>
      </c>
      <c r="B536" s="1325"/>
      <c r="D536" s="1250"/>
      <c r="F536" s="1250"/>
      <c r="H536" s="1250"/>
    </row>
    <row r="537" spans="1:8">
      <c r="A537" s="1325" t="s">
        <v>5333</v>
      </c>
      <c r="B537" s="1325"/>
      <c r="D537" s="1250"/>
      <c r="F537" s="1250"/>
      <c r="H537" s="1250"/>
    </row>
    <row r="538" spans="1:8">
      <c r="A538" s="1325" t="s">
        <v>30</v>
      </c>
      <c r="B538" s="1325"/>
      <c r="D538" s="1250"/>
      <c r="F538" s="1250"/>
      <c r="H538" s="1250"/>
    </row>
    <row r="539" spans="1:8">
      <c r="A539" s="705"/>
      <c r="B539" s="705"/>
    </row>
    <row r="540" spans="1:8">
      <c r="A540" s="701" t="s">
        <v>151</v>
      </c>
      <c r="B540" s="701" t="s">
        <v>152</v>
      </c>
      <c r="C540" s="701"/>
    </row>
    <row r="541" spans="1:8">
      <c r="A541" s="705"/>
      <c r="B541" s="705"/>
      <c r="C541" s="705"/>
    </row>
    <row r="542" spans="1:8">
      <c r="A542" s="705" t="s">
        <v>148</v>
      </c>
      <c r="B542" s="705">
        <v>1</v>
      </c>
      <c r="C542" s="705"/>
    </row>
    <row r="543" spans="1:8">
      <c r="A543" s="705" t="s">
        <v>149</v>
      </c>
      <c r="B543" s="705">
        <v>1</v>
      </c>
      <c r="C543" s="705"/>
    </row>
    <row r="544" spans="1:8">
      <c r="A544" s="705" t="s">
        <v>842</v>
      </c>
      <c r="B544" s="705">
        <v>2</v>
      </c>
      <c r="C544" s="705"/>
    </row>
    <row r="545" spans="1:3">
      <c r="A545" s="705" t="s">
        <v>150</v>
      </c>
      <c r="B545" s="705">
        <v>1</v>
      </c>
      <c r="C545" s="705"/>
    </row>
    <row r="546" spans="1:3">
      <c r="A546" s="705" t="s">
        <v>843</v>
      </c>
      <c r="B546" s="705">
        <v>2</v>
      </c>
      <c r="C546" s="705"/>
    </row>
    <row r="547" spans="1:3">
      <c r="A547" s="705" t="s">
        <v>844</v>
      </c>
      <c r="B547" s="705">
        <v>2</v>
      </c>
      <c r="C547" s="705"/>
    </row>
    <row r="548" spans="1:3">
      <c r="A548" s="705" t="s">
        <v>845</v>
      </c>
      <c r="B548" s="705">
        <v>2</v>
      </c>
      <c r="C548" s="705"/>
    </row>
    <row r="549" spans="1:3">
      <c r="A549" s="705" t="s">
        <v>846</v>
      </c>
      <c r="B549" s="705">
        <v>3</v>
      </c>
      <c r="C549" s="705"/>
    </row>
    <row r="550" spans="1:3">
      <c r="A550" s="705" t="s">
        <v>847</v>
      </c>
      <c r="B550" s="705">
        <v>3</v>
      </c>
      <c r="C550" s="705"/>
    </row>
    <row r="552" spans="1:3">
      <c r="A552" s="701" t="s">
        <v>635</v>
      </c>
      <c r="B552" s="692"/>
      <c r="C552" s="692"/>
    </row>
    <row r="554" spans="1:3">
      <c r="A554" s="705" t="s">
        <v>848</v>
      </c>
    </row>
    <row r="555" spans="1:3">
      <c r="A555" s="705" t="s">
        <v>849</v>
      </c>
    </row>
    <row r="556" spans="1:3">
      <c r="A556" s="705" t="s">
        <v>850</v>
      </c>
    </row>
    <row r="557" spans="1:3">
      <c r="A557" s="705" t="s">
        <v>851</v>
      </c>
    </row>
    <row r="559" spans="1:3">
      <c r="A559" s="701" t="s">
        <v>636</v>
      </c>
      <c r="B559" s="692"/>
      <c r="C559" s="692"/>
    </row>
    <row r="560" spans="1:3">
      <c r="A560" s="705"/>
    </row>
    <row r="561" spans="1:4">
      <c r="A561" s="705" t="s">
        <v>867</v>
      </c>
    </row>
    <row r="562" spans="1:4">
      <c r="A562" s="705" t="s">
        <v>870</v>
      </c>
    </row>
    <row r="563" spans="1:4">
      <c r="D563" s="703"/>
    </row>
    <row r="564" spans="1:4">
      <c r="A564" s="701" t="s">
        <v>637</v>
      </c>
      <c r="B564" s="692"/>
      <c r="C564" s="692"/>
      <c r="D564" s="703"/>
    </row>
    <row r="565" spans="1:4">
      <c r="A565" s="705"/>
      <c r="D565" s="703"/>
    </row>
    <row r="566" spans="1:4">
      <c r="A566" s="705" t="s">
        <v>865</v>
      </c>
      <c r="D566" s="703"/>
    </row>
    <row r="567" spans="1:4">
      <c r="A567" s="705" t="s">
        <v>868</v>
      </c>
      <c r="D567" s="703"/>
    </row>
    <row r="568" spans="1:4">
      <c r="A568" s="705" t="s">
        <v>871</v>
      </c>
      <c r="D568" s="703"/>
    </row>
    <row r="569" spans="1:4">
      <c r="A569" s="705" t="s">
        <v>873</v>
      </c>
      <c r="D569" s="703"/>
    </row>
    <row r="570" spans="1:4">
      <c r="A570" s="705" t="s">
        <v>875</v>
      </c>
      <c r="D570" s="703"/>
    </row>
    <row r="571" spans="1:4">
      <c r="A571" s="705" t="s">
        <v>855</v>
      </c>
      <c r="D571" s="703"/>
    </row>
    <row r="572" spans="1:4">
      <c r="A572" s="705" t="s">
        <v>856</v>
      </c>
      <c r="D572" s="703"/>
    </row>
    <row r="573" spans="1:4">
      <c r="A573" s="705" t="s">
        <v>857</v>
      </c>
      <c r="D573" s="703"/>
    </row>
    <row r="574" spans="1:4">
      <c r="A574" s="705" t="s">
        <v>852</v>
      </c>
      <c r="D574" s="703"/>
    </row>
    <row r="575" spans="1:4">
      <c r="A575" s="705" t="s">
        <v>858</v>
      </c>
      <c r="D575" s="703"/>
    </row>
    <row r="576" spans="1:4">
      <c r="A576" s="705" t="s">
        <v>859</v>
      </c>
      <c r="D576" s="703"/>
    </row>
    <row r="577" spans="1:4">
      <c r="A577" s="705" t="s">
        <v>361</v>
      </c>
      <c r="D577" s="703"/>
    </row>
    <row r="578" spans="1:4">
      <c r="A578" s="705" t="s">
        <v>362</v>
      </c>
      <c r="D578" s="703"/>
    </row>
    <row r="579" spans="1:4">
      <c r="A579" s="705" t="s">
        <v>363</v>
      </c>
      <c r="D579" s="703"/>
    </row>
    <row r="580" spans="1:4" ht="14.25">
      <c r="A580" s="705" t="s">
        <v>364</v>
      </c>
      <c r="D580" s="237"/>
    </row>
    <row r="581" spans="1:4" ht="14.25">
      <c r="A581" s="705" t="s">
        <v>365</v>
      </c>
      <c r="D581" s="237"/>
    </row>
    <row r="582" spans="1:4" ht="14.25">
      <c r="A582" s="705" t="s">
        <v>366</v>
      </c>
      <c r="D582" s="237"/>
    </row>
    <row r="583" spans="1:4" ht="14.25">
      <c r="D583" s="237"/>
    </row>
    <row r="584" spans="1:4" ht="14.25">
      <c r="A584" s="701" t="s">
        <v>863</v>
      </c>
      <c r="B584" s="701"/>
      <c r="C584" s="692"/>
      <c r="D584" s="237"/>
    </row>
    <row r="585" spans="1:4" ht="14.25">
      <c r="D585" s="237"/>
    </row>
    <row r="586" spans="1:4" ht="14.25">
      <c r="A586" s="705" t="s">
        <v>866</v>
      </c>
      <c r="B586" s="705"/>
      <c r="D586" s="237"/>
    </row>
    <row r="587" spans="1:4" ht="14.25">
      <c r="A587" s="705" t="s">
        <v>853</v>
      </c>
      <c r="B587" s="705"/>
      <c r="D587" s="237"/>
    </row>
    <row r="588" spans="1:4" ht="14.25">
      <c r="A588" s="705"/>
      <c r="B588" s="705"/>
      <c r="D588" s="237"/>
    </row>
    <row r="589" spans="1:4" ht="14.25">
      <c r="A589" s="701" t="s">
        <v>864</v>
      </c>
      <c r="B589" s="701"/>
      <c r="C589" s="692"/>
      <c r="D589" s="237"/>
    </row>
    <row r="590" spans="1:4" ht="14.25">
      <c r="A590" s="705"/>
      <c r="B590" s="705"/>
      <c r="D590" s="237"/>
    </row>
    <row r="591" spans="1:4" ht="14.25">
      <c r="A591" s="705" t="s">
        <v>869</v>
      </c>
      <c r="D591" s="237"/>
    </row>
    <row r="592" spans="1:4" ht="14.25">
      <c r="A592" s="705" t="s">
        <v>872</v>
      </c>
      <c r="D592" s="237"/>
    </row>
    <row r="593" spans="1:4" ht="14.25">
      <c r="A593" s="705" t="s">
        <v>874</v>
      </c>
      <c r="D593" s="237"/>
    </row>
    <row r="594" spans="1:4" ht="14.25">
      <c r="A594" s="705" t="s">
        <v>30</v>
      </c>
      <c r="D594" s="237"/>
    </row>
    <row r="596" spans="1:4">
      <c r="A596" s="701" t="s">
        <v>993</v>
      </c>
      <c r="B596" s="701"/>
      <c r="C596" s="692"/>
    </row>
    <row r="598" spans="1:4">
      <c r="A598" s="658">
        <v>0.08</v>
      </c>
    </row>
    <row r="600" spans="1:4">
      <c r="A600" s="1326" t="s">
        <v>1966</v>
      </c>
      <c r="B600" s="1326"/>
      <c r="C600" s="692"/>
    </row>
    <row r="602" spans="1:4">
      <c r="A602" s="658" t="s">
        <v>5430</v>
      </c>
      <c r="B602" s="658">
        <v>2024</v>
      </c>
    </row>
    <row r="603" spans="1:4">
      <c r="A603" s="658" t="s">
        <v>5429</v>
      </c>
      <c r="B603" s="658">
        <v>2023</v>
      </c>
    </row>
    <row r="604" spans="1:4">
      <c r="A604" s="658" t="s">
        <v>5428</v>
      </c>
      <c r="B604" s="658">
        <v>2022</v>
      </c>
    </row>
    <row r="605" spans="1:4">
      <c r="A605" s="658" t="s">
        <v>1967</v>
      </c>
      <c r="B605" s="658">
        <v>2021</v>
      </c>
    </row>
    <row r="606" spans="1:4">
      <c r="A606" s="658" t="s">
        <v>1968</v>
      </c>
      <c r="B606" s="658">
        <v>2020</v>
      </c>
    </row>
    <row r="607" spans="1:4">
      <c r="A607" s="658" t="s">
        <v>1969</v>
      </c>
      <c r="B607" s="658">
        <v>2019</v>
      </c>
    </row>
    <row r="608" spans="1:4">
      <c r="A608" s="658" t="s">
        <v>1970</v>
      </c>
      <c r="B608" s="658">
        <v>2019</v>
      </c>
    </row>
    <row r="609" spans="1:11">
      <c r="A609" s="658" t="s">
        <v>1971</v>
      </c>
      <c r="B609" s="658">
        <v>2018</v>
      </c>
    </row>
    <row r="610" spans="1:11">
      <c r="A610" s="658" t="s">
        <v>1972</v>
      </c>
      <c r="B610" s="658">
        <v>2017</v>
      </c>
    </row>
    <row r="611" spans="1:11">
      <c r="A611" s="658" t="s">
        <v>1973</v>
      </c>
      <c r="B611" s="658">
        <v>2016</v>
      </c>
    </row>
    <row r="612" spans="1:11">
      <c r="A612" s="658" t="s">
        <v>1974</v>
      </c>
      <c r="B612" s="658">
        <v>2015</v>
      </c>
    </row>
    <row r="613" spans="1:11">
      <c r="A613" s="658" t="s">
        <v>1975</v>
      </c>
      <c r="B613" s="658">
        <v>2014</v>
      </c>
    </row>
    <row r="614" spans="1:11">
      <c r="A614" s="658" t="s">
        <v>1976</v>
      </c>
      <c r="B614" s="658">
        <v>2013</v>
      </c>
    </row>
    <row r="616" spans="1:11">
      <c r="A616" s="1326" t="s">
        <v>1977</v>
      </c>
      <c r="B616" s="1326"/>
      <c r="C616" s="692"/>
    </row>
    <row r="617" spans="1:11">
      <c r="D617" s="706"/>
      <c r="F617" s="706"/>
      <c r="H617" s="706"/>
    </row>
    <row r="618" spans="1:11">
      <c r="A618" s="658">
        <v>1</v>
      </c>
      <c r="D618" s="706"/>
      <c r="F618" s="706"/>
      <c r="H618" s="706"/>
    </row>
    <row r="619" spans="1:11">
      <c r="A619" s="658">
        <v>2</v>
      </c>
      <c r="D619" s="706"/>
      <c r="F619" s="706"/>
      <c r="H619" s="706"/>
    </row>
    <row r="620" spans="1:11">
      <c r="A620" s="658">
        <v>3</v>
      </c>
      <c r="D620" s="706"/>
      <c r="F620" s="706"/>
      <c r="H620" s="706"/>
    </row>
    <row r="621" spans="1:11">
      <c r="A621" s="658">
        <v>4</v>
      </c>
      <c r="D621" s="706"/>
      <c r="E621" s="706"/>
      <c r="F621" s="706"/>
      <c r="H621" s="706"/>
    </row>
    <row r="622" spans="1:11">
      <c r="A622" s="658">
        <v>5</v>
      </c>
      <c r="D622" s="706"/>
      <c r="E622" s="706"/>
      <c r="F622" s="706"/>
      <c r="H622" s="706"/>
      <c r="I622" s="706"/>
      <c r="J622" s="706"/>
      <c r="K622" s="706"/>
    </row>
    <row r="623" spans="1:11">
      <c r="A623" s="658">
        <v>6</v>
      </c>
      <c r="D623" s="706"/>
      <c r="E623" s="706"/>
      <c r="F623" s="706"/>
      <c r="H623" s="706"/>
      <c r="I623" s="706"/>
      <c r="J623" s="706"/>
      <c r="K623" s="706"/>
    </row>
    <row r="624" spans="1:11">
      <c r="A624" s="658">
        <v>7</v>
      </c>
      <c r="D624" s="706"/>
      <c r="E624" s="706"/>
      <c r="F624" s="706"/>
      <c r="H624" s="706"/>
      <c r="I624" s="706"/>
      <c r="J624" s="706"/>
      <c r="K624" s="706"/>
    </row>
    <row r="625" spans="1:11">
      <c r="A625" s="658">
        <v>8</v>
      </c>
      <c r="D625" s="706"/>
      <c r="E625" s="706"/>
      <c r="F625" s="706"/>
      <c r="H625" s="706"/>
      <c r="I625" s="706"/>
      <c r="J625" s="706"/>
      <c r="K625" s="706"/>
    </row>
    <row r="626" spans="1:11">
      <c r="A626" s="658">
        <v>9</v>
      </c>
      <c r="D626" s="706"/>
      <c r="E626" s="706"/>
      <c r="F626" s="706"/>
      <c r="H626" s="706"/>
      <c r="I626" s="706"/>
      <c r="J626" s="706"/>
      <c r="K626" s="706"/>
    </row>
    <row r="627" spans="1:11">
      <c r="A627" s="658">
        <v>10</v>
      </c>
      <c r="D627" s="706"/>
      <c r="E627" s="706"/>
      <c r="F627" s="706"/>
      <c r="H627" s="706"/>
      <c r="I627" s="706"/>
      <c r="J627" s="706"/>
      <c r="K627" s="706"/>
    </row>
    <row r="628" spans="1:11">
      <c r="A628" s="658">
        <v>11</v>
      </c>
      <c r="D628" s="706"/>
      <c r="E628" s="706"/>
      <c r="F628" s="706"/>
      <c r="H628" s="706"/>
      <c r="I628" s="706"/>
      <c r="J628" s="706"/>
      <c r="K628" s="706"/>
    </row>
    <row r="629" spans="1:11">
      <c r="A629" s="658">
        <v>12</v>
      </c>
      <c r="D629" s="706"/>
      <c r="E629" s="706"/>
      <c r="F629" s="706"/>
      <c r="H629" s="706"/>
      <c r="I629" s="706"/>
      <c r="J629" s="706"/>
      <c r="K629" s="706"/>
    </row>
    <row r="630" spans="1:11">
      <c r="D630" s="706"/>
      <c r="E630" s="706"/>
      <c r="F630" s="706"/>
      <c r="H630" s="706"/>
      <c r="I630" s="706"/>
      <c r="J630" s="706"/>
      <c r="K630" s="706"/>
    </row>
    <row r="631" spans="1:11">
      <c r="A631" s="1326" t="s">
        <v>1978</v>
      </c>
      <c r="B631" s="1326"/>
      <c r="C631" s="692"/>
      <c r="D631" s="706"/>
      <c r="E631" s="706"/>
      <c r="F631" s="706"/>
      <c r="H631" s="706"/>
      <c r="I631" s="706"/>
      <c r="J631" s="706"/>
      <c r="K631" s="706"/>
    </row>
    <row r="632" spans="1:11">
      <c r="D632" s="706"/>
      <c r="E632" s="706"/>
      <c r="F632" s="706"/>
      <c r="G632" s="706"/>
      <c r="H632" s="706"/>
      <c r="I632" s="706"/>
      <c r="J632" s="706"/>
      <c r="K632" s="706"/>
    </row>
    <row r="633" spans="1:11">
      <c r="A633" s="658">
        <v>1</v>
      </c>
    </row>
    <row r="634" spans="1:11">
      <c r="A634" s="658">
        <v>2</v>
      </c>
    </row>
    <row r="635" spans="1:11">
      <c r="A635" s="658">
        <v>3</v>
      </c>
    </row>
    <row r="636" spans="1:11">
      <c r="A636" s="658">
        <v>4</v>
      </c>
    </row>
    <row r="637" spans="1:11">
      <c r="A637" s="658">
        <v>5</v>
      </c>
      <c r="B637" s="698"/>
      <c r="C637" s="698"/>
    </row>
    <row r="638" spans="1:11">
      <c r="A638" s="658">
        <v>6</v>
      </c>
      <c r="B638" s="698"/>
      <c r="C638" s="698"/>
    </row>
    <row r="639" spans="1:11">
      <c r="A639" s="658">
        <v>7</v>
      </c>
      <c r="B639" s="698"/>
      <c r="C639" s="698"/>
    </row>
    <row r="640" spans="1:11">
      <c r="A640" s="658">
        <v>8</v>
      </c>
      <c r="B640" s="698"/>
      <c r="C640" s="698"/>
    </row>
    <row r="641" spans="1:3">
      <c r="A641" s="658">
        <v>9</v>
      </c>
      <c r="B641" s="698"/>
      <c r="C641" s="698"/>
    </row>
    <row r="642" spans="1:3">
      <c r="A642" s="658">
        <v>10</v>
      </c>
      <c r="B642" s="698"/>
      <c r="C642" s="698"/>
    </row>
    <row r="643" spans="1:3">
      <c r="A643" s="658">
        <v>11</v>
      </c>
      <c r="B643" s="698"/>
      <c r="C643" s="698"/>
    </row>
    <row r="644" spans="1:3">
      <c r="A644" s="658">
        <v>12</v>
      </c>
      <c r="B644" s="698"/>
      <c r="C644" s="698"/>
    </row>
    <row r="645" spans="1:3">
      <c r="A645" s="658">
        <v>13</v>
      </c>
      <c r="B645" s="698"/>
      <c r="C645" s="698"/>
    </row>
    <row r="646" spans="1:3">
      <c r="A646" s="658">
        <v>14</v>
      </c>
      <c r="B646" s="698"/>
      <c r="C646" s="698"/>
    </row>
    <row r="647" spans="1:3">
      <c r="A647" s="658">
        <v>15</v>
      </c>
      <c r="B647" s="698"/>
      <c r="C647" s="698"/>
    </row>
    <row r="648" spans="1:3">
      <c r="A648" s="658">
        <v>16</v>
      </c>
      <c r="B648" s="698"/>
      <c r="C648" s="698"/>
    </row>
    <row r="649" spans="1:3">
      <c r="A649" s="658">
        <v>17</v>
      </c>
      <c r="B649" s="698"/>
      <c r="C649" s="698"/>
    </row>
    <row r="650" spans="1:3">
      <c r="A650" s="658">
        <v>18</v>
      </c>
      <c r="B650" s="698"/>
      <c r="C650" s="698"/>
    </row>
    <row r="651" spans="1:3">
      <c r="A651" s="658">
        <v>19</v>
      </c>
      <c r="B651" s="698"/>
      <c r="C651" s="698"/>
    </row>
    <row r="652" spans="1:3">
      <c r="A652" s="658">
        <v>20</v>
      </c>
      <c r="B652" s="698"/>
      <c r="C652" s="698"/>
    </row>
    <row r="653" spans="1:3">
      <c r="A653" s="658">
        <v>21</v>
      </c>
      <c r="B653" s="698"/>
      <c r="C653" s="698"/>
    </row>
    <row r="654" spans="1:3">
      <c r="A654" s="658">
        <v>22</v>
      </c>
      <c r="B654" s="698"/>
      <c r="C654" s="698"/>
    </row>
    <row r="655" spans="1:3">
      <c r="A655" s="658">
        <v>23</v>
      </c>
      <c r="B655" s="698"/>
      <c r="C655" s="698"/>
    </row>
    <row r="656" spans="1:3">
      <c r="A656" s="658">
        <v>24</v>
      </c>
      <c r="B656" s="698"/>
      <c r="C656" s="698"/>
    </row>
    <row r="657" spans="1:3">
      <c r="A657" s="658">
        <v>25</v>
      </c>
      <c r="B657" s="698"/>
      <c r="C657" s="698"/>
    </row>
    <row r="658" spans="1:3">
      <c r="A658" s="658">
        <v>26</v>
      </c>
      <c r="B658" s="698"/>
      <c r="C658" s="698"/>
    </row>
    <row r="659" spans="1:3">
      <c r="A659" s="658">
        <v>27</v>
      </c>
      <c r="B659" s="698"/>
      <c r="C659" s="698"/>
    </row>
    <row r="660" spans="1:3">
      <c r="A660" s="658">
        <v>28</v>
      </c>
      <c r="B660" s="698"/>
      <c r="C660" s="698"/>
    </row>
    <row r="661" spans="1:3">
      <c r="A661" s="658">
        <v>29</v>
      </c>
      <c r="B661" s="698"/>
      <c r="C661" s="698"/>
    </row>
    <row r="662" spans="1:3">
      <c r="A662" s="658">
        <v>30</v>
      </c>
      <c r="B662" s="698"/>
      <c r="C662" s="698"/>
    </row>
    <row r="663" spans="1:3">
      <c r="A663" s="658">
        <v>31</v>
      </c>
      <c r="B663" s="698"/>
      <c r="C663" s="698"/>
    </row>
  </sheetData>
  <phoneticPr fontId="5"/>
  <pageMargins left="0.75" right="0.75" top="1" bottom="1" header="0.51200000000000001" footer="0.51200000000000001"/>
  <pageSetup paperSize="8" scale="95" orientation="portrait" r:id="rId1"/>
  <headerFooter alignWithMargins="0">
    <oddHeader>&amp;L&amp;A</oddHeader>
  </headerFooter>
  <rowBreaks count="5" manualBreakCount="5">
    <brk id="200" max="4" man="1"/>
    <brk id="288" max="4" man="1"/>
    <brk id="446" max="16383" man="1"/>
    <brk id="519" max="4" man="1"/>
    <brk id="614" max="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W5"/>
  <sheetViews>
    <sheetView topLeftCell="B1" workbookViewId="0">
      <selection sqref="A1:A4"/>
    </sheetView>
  </sheetViews>
  <sheetFormatPr defaultRowHeight="13.5"/>
  <cols>
    <col min="3" max="3" width="16.25" bestFit="1" customWidth="1"/>
    <col min="4" max="4" width="17.125" bestFit="1" customWidth="1"/>
    <col min="7" max="7" width="18.875" bestFit="1" customWidth="1"/>
    <col min="10" max="10" width="13.5" bestFit="1" customWidth="1"/>
    <col min="11" max="11" width="14.375" bestFit="1" customWidth="1"/>
    <col min="18" max="18" width="0" hidden="1" customWidth="1"/>
  </cols>
  <sheetData>
    <row r="1" spans="1:23" s="4" customFormat="1" ht="13.5" customHeight="1">
      <c r="A1" s="2089" t="s">
        <v>1482</v>
      </c>
      <c r="B1" s="2089" t="s">
        <v>1483</v>
      </c>
      <c r="C1" s="2090" t="s">
        <v>1484</v>
      </c>
      <c r="D1" s="2090" t="s">
        <v>1485</v>
      </c>
      <c r="E1" s="2091" t="s">
        <v>1486</v>
      </c>
      <c r="F1" s="2089" t="s">
        <v>1487</v>
      </c>
      <c r="G1" s="2098" t="s">
        <v>1488</v>
      </c>
      <c r="H1" s="2100" t="s">
        <v>1489</v>
      </c>
      <c r="I1" s="2089" t="s">
        <v>1490</v>
      </c>
      <c r="J1" s="2102" t="s">
        <v>1491</v>
      </c>
      <c r="K1" s="2102"/>
      <c r="L1" s="2095" t="s">
        <v>1492</v>
      </c>
      <c r="M1" s="2095"/>
      <c r="N1" s="2095"/>
      <c r="O1" s="2095"/>
      <c r="P1" s="2095"/>
      <c r="Q1" s="2092" t="s">
        <v>1493</v>
      </c>
      <c r="R1" s="2092"/>
      <c r="S1" s="2103" t="s">
        <v>1494</v>
      </c>
      <c r="T1" s="2103" t="s">
        <v>1495</v>
      </c>
      <c r="U1" s="2103" t="s">
        <v>1496</v>
      </c>
      <c r="V1" s="2105" t="s">
        <v>1497</v>
      </c>
      <c r="W1" s="2105" t="s">
        <v>1498</v>
      </c>
    </row>
    <row r="2" spans="1:23" s="4" customFormat="1" ht="13.5" customHeight="1">
      <c r="A2" s="2089"/>
      <c r="B2" s="2089"/>
      <c r="C2" s="2090"/>
      <c r="D2" s="2090"/>
      <c r="E2" s="2090"/>
      <c r="F2" s="2089"/>
      <c r="G2" s="2099"/>
      <c r="H2" s="2101"/>
      <c r="I2" s="2089"/>
      <c r="J2" s="2102"/>
      <c r="K2" s="2102"/>
      <c r="L2" s="2095"/>
      <c r="M2" s="2095"/>
      <c r="N2" s="2095"/>
      <c r="O2" s="2095"/>
      <c r="P2" s="2095"/>
      <c r="Q2" s="2092"/>
      <c r="R2" s="2092"/>
      <c r="S2" s="2104"/>
      <c r="T2" s="2104"/>
      <c r="U2" s="2104"/>
      <c r="V2" s="2106"/>
      <c r="W2" s="2106"/>
    </row>
    <row r="3" spans="1:23" s="4" customFormat="1" ht="13.5" customHeight="1">
      <c r="A3" s="2089"/>
      <c r="B3" s="2089"/>
      <c r="C3" s="2090"/>
      <c r="D3" s="2090"/>
      <c r="E3" s="2090"/>
      <c r="F3" s="2089"/>
      <c r="G3" s="2099"/>
      <c r="H3" s="2101"/>
      <c r="I3" s="2089"/>
      <c r="J3" s="2102" t="s">
        <v>1499</v>
      </c>
      <c r="K3" s="2102" t="s">
        <v>1500</v>
      </c>
      <c r="L3" s="2095" t="s">
        <v>1485</v>
      </c>
      <c r="M3" s="2093" t="s">
        <v>1501</v>
      </c>
      <c r="N3" s="2093" t="s">
        <v>1502</v>
      </c>
      <c r="O3" s="2093" t="s">
        <v>1503</v>
      </c>
      <c r="P3" s="2094" t="s">
        <v>1504</v>
      </c>
      <c r="Q3" s="2092" t="s">
        <v>1505</v>
      </c>
      <c r="R3" s="2096" t="s">
        <v>1504</v>
      </c>
      <c r="S3" s="2104"/>
      <c r="T3" s="2104"/>
      <c r="U3" s="2104"/>
      <c r="V3" s="2106"/>
      <c r="W3" s="2106"/>
    </row>
    <row r="4" spans="1:23" s="4" customFormat="1">
      <c r="A4" s="2089"/>
      <c r="B4" s="2089"/>
      <c r="C4" s="2090"/>
      <c r="D4" s="2090"/>
      <c r="E4" s="2090"/>
      <c r="F4" s="2089"/>
      <c r="G4" s="2099"/>
      <c r="H4" s="2101"/>
      <c r="I4" s="2089"/>
      <c r="J4" s="2102"/>
      <c r="K4" s="2102"/>
      <c r="L4" s="2095"/>
      <c r="M4" s="2093"/>
      <c r="N4" s="2093"/>
      <c r="O4" s="2093"/>
      <c r="P4" s="2095"/>
      <c r="Q4" s="2092"/>
      <c r="R4" s="2097"/>
      <c r="S4" s="2104"/>
      <c r="T4" s="2104"/>
      <c r="U4" s="2104"/>
      <c r="V4" s="2106"/>
      <c r="W4" s="2106"/>
    </row>
    <row r="5" spans="1:23" s="42" customFormat="1" ht="12">
      <c r="A5" s="42" t="e">
        <f>チェック!#REF!&amp;MID(TEXT(E5,"ggge"),3,2)</f>
        <v>#REF!</v>
      </c>
      <c r="B5" s="932" t="s">
        <v>1506</v>
      </c>
      <c r="C5" s="933" t="str">
        <f>工事情報!G5</f>
        <v>3：国土交通省(航空)</v>
      </c>
      <c r="D5" s="932">
        <f>工事情報!G6</f>
        <v>0</v>
      </c>
      <c r="E5" s="934" t="str">
        <f>開始画面!B1</f>
        <v>令和2年度</v>
      </c>
      <c r="F5" s="932">
        <f>工事情報!$G$13</f>
        <v>0</v>
      </c>
      <c r="G5" s="932">
        <f>一般事項!F20</f>
        <v>0</v>
      </c>
      <c r="H5" s="116">
        <f>工事情報!G9/1000</f>
        <v>0</v>
      </c>
      <c r="I5" s="932">
        <f>工事情報!G4</f>
        <v>0</v>
      </c>
      <c r="J5" s="42" t="str">
        <f>"平成"&amp;工事情報!G21&amp;"年"&amp;工事情報!G22&amp;"月"&amp;工事情報!G23&amp;"日"</f>
        <v>平成年月日</v>
      </c>
      <c r="K5" s="42" t="str">
        <f>"平成"&amp;工事情報!G27&amp;"年"&amp;工事情報!G28&amp;"月"&amp;工事情報!G29&amp;"日"</f>
        <v>平成年月日</v>
      </c>
      <c r="L5" s="42">
        <f>工事情報!G6</f>
        <v>0</v>
      </c>
      <c r="M5" s="42">
        <f>一般事項!F13</f>
        <v>0</v>
      </c>
      <c r="N5" s="42">
        <f>一般事項!F14</f>
        <v>0</v>
      </c>
      <c r="O5" s="42">
        <f>一般事項!F12</f>
        <v>0</v>
      </c>
      <c r="P5" s="42">
        <f>一般事項!F11</f>
        <v>0</v>
      </c>
      <c r="Q5" s="42">
        <f>工事情報!$G$8</f>
        <v>0</v>
      </c>
      <c r="S5" s="42">
        <f>確認!G37+確認!G39+確認!G41+確認!G43+確認!G45+確認!G47+確認!G49</f>
        <v>135</v>
      </c>
      <c r="T5" s="42">
        <f>確認!I37+確認!I39+確認!I41+確認!I43+確認!I45+確認!I47+確認!I49+確認!I55</f>
        <v>2</v>
      </c>
      <c r="U5" s="42">
        <f>チェック!$R$2</f>
        <v>0</v>
      </c>
      <c r="V5" s="42">
        <f>チェック!$D$45</f>
        <v>0</v>
      </c>
      <c r="W5" s="42">
        <f>チェック!$D$46</f>
        <v>0</v>
      </c>
    </row>
  </sheetData>
  <mergeCells count="26">
    <mergeCell ref="S1:S4"/>
    <mergeCell ref="T1:T4"/>
    <mergeCell ref="U1:U4"/>
    <mergeCell ref="V1:V4"/>
    <mergeCell ref="W1:W4"/>
    <mergeCell ref="G1:G4"/>
    <mergeCell ref="H1:H4"/>
    <mergeCell ref="I1:I4"/>
    <mergeCell ref="J1:K2"/>
    <mergeCell ref="L1:P2"/>
    <mergeCell ref="J3:J4"/>
    <mergeCell ref="K3:K4"/>
    <mergeCell ref="L3:L4"/>
    <mergeCell ref="M3:M4"/>
    <mergeCell ref="N3:N4"/>
    <mergeCell ref="Q1:R2"/>
    <mergeCell ref="O3:O4"/>
    <mergeCell ref="P3:P4"/>
    <mergeCell ref="Q3:Q4"/>
    <mergeCell ref="R3:R4"/>
    <mergeCell ref="F1:F4"/>
    <mergeCell ref="A1:A4"/>
    <mergeCell ref="B1:B4"/>
    <mergeCell ref="C1:C4"/>
    <mergeCell ref="D1:D4"/>
    <mergeCell ref="E1:E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44"/>
  </sheetPr>
  <dimension ref="A1:V69"/>
  <sheetViews>
    <sheetView showGridLines="0" topLeftCell="A2" zoomScaleNormal="100" zoomScaleSheetLayoutView="85" workbookViewId="0"/>
  </sheetViews>
  <sheetFormatPr defaultRowHeight="13.5"/>
  <cols>
    <col min="1" max="1" width="1.625" style="3" customWidth="1"/>
    <col min="2" max="3" width="3.625" style="3" customWidth="1"/>
    <col min="4" max="4" width="25" style="3" customWidth="1"/>
    <col min="5" max="5" width="14.5" style="77" customWidth="1"/>
    <col min="6" max="6" width="3.375" style="131" customWidth="1"/>
    <col min="7" max="7" width="35.375" style="4" customWidth="1"/>
    <col min="8" max="8" width="9.625" style="4" customWidth="1"/>
    <col min="9" max="9" width="9" style="4"/>
    <col min="10" max="10" width="16.75" style="4" hidden="1" customWidth="1"/>
    <col min="11" max="11" width="10.5" style="19" hidden="1" customWidth="1"/>
    <col min="12" max="14" width="9" style="19" customWidth="1"/>
    <col min="15" max="15" width="2.5" style="74" customWidth="1"/>
    <col min="16" max="19" width="4.75" style="74" customWidth="1"/>
    <col min="20" max="20" width="7.625" style="74" customWidth="1"/>
    <col min="21" max="21" width="4.5" style="74" customWidth="1"/>
    <col min="22" max="22" width="4.75" style="74" customWidth="1"/>
    <col min="23" max="16384" width="9" style="4"/>
  </cols>
  <sheetData>
    <row r="1" spans="1:22" ht="11.25" hidden="1" customHeight="1">
      <c r="A1" s="604" t="s">
        <v>534</v>
      </c>
      <c r="B1" s="604">
        <f>COUNTIF($F$4:$F$31,"※")</f>
        <v>21</v>
      </c>
      <c r="C1" s="605" t="s">
        <v>535</v>
      </c>
      <c r="D1" s="604">
        <f>COUNTIF($F$4:$F$31,"E")</f>
        <v>0</v>
      </c>
      <c r="J1" s="482"/>
      <c r="K1" s="483"/>
      <c r="L1" s="483"/>
      <c r="M1" s="483"/>
      <c r="N1" s="483"/>
      <c r="O1" s="618"/>
      <c r="P1" s="618"/>
      <c r="Q1" s="618"/>
      <c r="R1" s="618"/>
      <c r="S1" s="618"/>
      <c r="T1" s="618"/>
      <c r="U1" s="618"/>
      <c r="V1" s="618"/>
    </row>
    <row r="2" spans="1:22">
      <c r="A2" s="17"/>
      <c r="B2" s="17"/>
      <c r="C2" s="3" t="s">
        <v>328</v>
      </c>
      <c r="G2" s="77"/>
      <c r="J2" s="887"/>
      <c r="K2" s="1654"/>
      <c r="Q2" s="4"/>
      <c r="R2" s="4"/>
      <c r="S2" s="4"/>
      <c r="T2" s="4"/>
      <c r="U2" s="4"/>
      <c r="V2" s="4"/>
    </row>
    <row r="3" spans="1:22">
      <c r="A3" s="17"/>
      <c r="B3" s="17"/>
      <c r="D3" s="42"/>
      <c r="Q3" s="4"/>
      <c r="R3" s="4"/>
      <c r="S3" s="4"/>
      <c r="T3" s="4"/>
      <c r="U3" s="4"/>
      <c r="V3" s="4"/>
    </row>
    <row r="4" spans="1:22">
      <c r="A4" s="17"/>
      <c r="B4" s="17"/>
      <c r="C4" s="16"/>
      <c r="D4" s="121" t="s">
        <v>523</v>
      </c>
      <c r="E4" s="137"/>
      <c r="F4" s="129" t="str">
        <f>IF(G4="","※","")</f>
        <v>※</v>
      </c>
      <c r="G4" s="897"/>
      <c r="K4" s="3"/>
      <c r="Q4" s="4"/>
      <c r="R4" s="4"/>
      <c r="S4" s="4"/>
      <c r="T4" s="4"/>
      <c r="U4" s="4"/>
      <c r="V4" s="4"/>
    </row>
    <row r="5" spans="1:22">
      <c r="A5" s="17"/>
      <c r="B5" s="17"/>
      <c r="C5" s="16"/>
      <c r="D5" s="121" t="s">
        <v>44</v>
      </c>
      <c r="E5" s="616"/>
      <c r="F5" s="129" t="str">
        <f>IF(G5="","※",IF(一般事項!E20="E","E",""))</f>
        <v/>
      </c>
      <c r="G5" s="736" t="s">
        <v>1012</v>
      </c>
      <c r="H5" s="163" t="str">
        <f>IF(F5="E","工種ｺｰﾄﾞを確認して下さい。","")</f>
        <v/>
      </c>
      <c r="Q5" s="4"/>
      <c r="R5" s="4"/>
      <c r="S5" s="4"/>
      <c r="T5" s="4"/>
      <c r="U5" s="4"/>
      <c r="V5" s="4"/>
    </row>
    <row r="6" spans="1:22">
      <c r="C6" s="14"/>
      <c r="D6" s="121" t="s">
        <v>45</v>
      </c>
      <c r="E6" s="617"/>
      <c r="F6" s="129" t="str">
        <f>IF(G6="","※","")</f>
        <v>※</v>
      </c>
      <c r="G6" s="175"/>
      <c r="R6" s="4"/>
      <c r="S6" s="4"/>
      <c r="T6" s="4"/>
      <c r="U6" s="4"/>
      <c r="V6" s="4"/>
    </row>
    <row r="7" spans="1:22" ht="13.5" customHeight="1">
      <c r="C7" s="117"/>
      <c r="D7" s="119" t="s">
        <v>409</v>
      </c>
      <c r="E7" s="138"/>
      <c r="F7" s="132" t="str">
        <f>IF(G7="","※","")</f>
        <v>※</v>
      </c>
      <c r="G7" s="122"/>
      <c r="N7" s="558"/>
      <c r="Q7" s="4"/>
      <c r="R7" s="4"/>
      <c r="S7" s="4"/>
      <c r="T7" s="4"/>
      <c r="U7" s="4"/>
      <c r="V7" s="4"/>
    </row>
    <row r="8" spans="1:22" ht="12" customHeight="1">
      <c r="C8" s="118"/>
      <c r="D8" s="120" t="s">
        <v>410</v>
      </c>
      <c r="E8" s="139"/>
      <c r="F8" s="133" t="str">
        <f>IF(G8="","※","")</f>
        <v>※</v>
      </c>
      <c r="G8" s="123"/>
      <c r="Q8" s="4"/>
      <c r="R8" s="4"/>
      <c r="S8" s="4"/>
      <c r="T8" s="4"/>
      <c r="U8" s="4"/>
      <c r="V8" s="4"/>
    </row>
    <row r="9" spans="1:22">
      <c r="C9" s="9"/>
      <c r="D9" s="498" t="s">
        <v>552</v>
      </c>
      <c r="E9" s="138"/>
      <c r="F9" s="132" t="str">
        <f>IF(G9="","※","")</f>
        <v>※</v>
      </c>
      <c r="G9" s="488"/>
      <c r="H9" s="42" t="s">
        <v>429</v>
      </c>
      <c r="N9" s="20"/>
      <c r="Q9" s="4"/>
      <c r="R9" s="4"/>
      <c r="S9" s="4"/>
      <c r="T9" s="4"/>
      <c r="U9" s="4"/>
      <c r="V9" s="4"/>
    </row>
    <row r="10" spans="1:22" ht="13.5" customHeight="1">
      <c r="C10" s="499"/>
      <c r="D10" s="495" t="s">
        <v>335</v>
      </c>
      <c r="E10" s="496"/>
      <c r="F10" s="135" t="str">
        <f>IF(G10="","※","")</f>
        <v>※</v>
      </c>
      <c r="G10" s="497"/>
      <c r="H10" s="42" t="s">
        <v>429</v>
      </c>
      <c r="N10" s="20"/>
      <c r="Q10" s="4"/>
      <c r="R10" s="4"/>
      <c r="S10" s="4"/>
      <c r="T10" s="4"/>
      <c r="U10" s="4"/>
      <c r="V10" s="4"/>
    </row>
    <row r="11" spans="1:22" ht="27" customHeight="1">
      <c r="C11" s="14"/>
      <c r="D11" s="1655" t="s">
        <v>5408</v>
      </c>
      <c r="E11" s="137"/>
      <c r="F11" s="129"/>
      <c r="G11" s="487" t="str">
        <f>IF(G9="","",ROUND(G9*J11/(1+J11),0))</f>
        <v/>
      </c>
      <c r="H11" s="42" t="s">
        <v>429</v>
      </c>
      <c r="J11" s="1653">
        <v>0.1</v>
      </c>
      <c r="N11" s="20"/>
      <c r="Q11" s="4"/>
      <c r="R11" s="4"/>
      <c r="S11" s="4"/>
      <c r="T11" s="4"/>
      <c r="U11" s="4"/>
      <c r="V11" s="4"/>
    </row>
    <row r="12" spans="1:22">
      <c r="C12" s="73"/>
      <c r="D12" s="73"/>
      <c r="N12" s="20"/>
      <c r="Q12" s="4"/>
      <c r="R12" s="4"/>
      <c r="S12" s="4"/>
      <c r="T12" s="4"/>
      <c r="U12" s="4"/>
      <c r="V12" s="4"/>
    </row>
    <row r="13" spans="1:22">
      <c r="C13" s="459" t="s">
        <v>792</v>
      </c>
      <c r="D13" s="460"/>
      <c r="E13" s="461"/>
      <c r="F13" s="132" t="str">
        <f>IF(G13="","※","")</f>
        <v>※</v>
      </c>
      <c r="G13" s="122"/>
      <c r="H13" s="462"/>
      <c r="J13" s="19"/>
      <c r="N13" s="20"/>
      <c r="Q13" s="4"/>
      <c r="R13" s="4"/>
      <c r="S13" s="4"/>
      <c r="T13" s="4"/>
      <c r="U13" s="4"/>
      <c r="V13" s="4"/>
    </row>
    <row r="14" spans="1:22">
      <c r="C14" s="463"/>
      <c r="D14" s="464" t="s">
        <v>793</v>
      </c>
      <c r="E14" s="465"/>
      <c r="F14" s="142" t="str">
        <f>IF(G13="","",IF(AND(OR(G13="その他",G13="その他工事"),G14=""),"※",""))</f>
        <v/>
      </c>
      <c r="G14" s="481"/>
      <c r="H14" s="462"/>
      <c r="I14" s="455" t="str">
        <f>IF(F14="※","具体的な工事種別を入力して下さい","")</f>
        <v/>
      </c>
      <c r="J14" s="408"/>
      <c r="N14" s="20"/>
      <c r="R14" s="4"/>
      <c r="S14" s="4"/>
      <c r="T14" s="4"/>
      <c r="U14" s="4"/>
      <c r="V14" s="4"/>
    </row>
    <row r="15" spans="1:22" ht="13.5" customHeight="1">
      <c r="C15" s="466" t="s">
        <v>49</v>
      </c>
      <c r="D15" s="467"/>
      <c r="E15" s="468"/>
      <c r="F15" s="132" t="str">
        <f>IF(G15="","※","")</f>
        <v>※</v>
      </c>
      <c r="G15" s="488"/>
      <c r="H15" s="42" t="s">
        <v>220</v>
      </c>
      <c r="J15" s="603"/>
      <c r="N15" s="20"/>
      <c r="O15" s="4"/>
      <c r="P15" s="4"/>
      <c r="Q15" s="4"/>
      <c r="R15" s="4"/>
      <c r="S15" s="4"/>
      <c r="T15" s="4"/>
      <c r="U15" s="4"/>
      <c r="V15" s="4"/>
    </row>
    <row r="16" spans="1:22">
      <c r="C16" s="500"/>
      <c r="D16" s="229" t="s">
        <v>335</v>
      </c>
      <c r="E16" s="478"/>
      <c r="F16" s="501" t="str">
        <f>IF(G16="","※","")</f>
        <v>※</v>
      </c>
      <c r="G16" s="489"/>
      <c r="H16" s="42" t="s">
        <v>221</v>
      </c>
      <c r="J16" s="603"/>
      <c r="N16" s="20"/>
      <c r="O16" s="4"/>
      <c r="P16" s="4"/>
      <c r="Q16" s="4"/>
      <c r="R16" s="4"/>
      <c r="S16" s="4"/>
      <c r="T16" s="4"/>
      <c r="U16" s="4"/>
      <c r="V16" s="4"/>
    </row>
    <row r="17" spans="3:22" ht="30" customHeight="1">
      <c r="C17" s="1701" t="s">
        <v>50</v>
      </c>
      <c r="D17" s="1702"/>
      <c r="E17" s="1703"/>
      <c r="F17" s="129"/>
      <c r="G17" s="502" t="str">
        <f>IF(G16="","",G15-G16)</f>
        <v/>
      </c>
      <c r="H17" s="42" t="s">
        <v>221</v>
      </c>
      <c r="N17" s="20"/>
      <c r="O17" s="4"/>
      <c r="P17" s="4"/>
      <c r="Q17" s="4"/>
      <c r="R17" s="4"/>
      <c r="S17" s="4"/>
      <c r="T17" s="4"/>
      <c r="U17" s="4"/>
      <c r="V17" s="4"/>
    </row>
    <row r="18" spans="3:22">
      <c r="C18" s="471" t="s">
        <v>794</v>
      </c>
      <c r="D18" s="472"/>
      <c r="E18" s="473"/>
      <c r="F18" s="129" t="str">
        <f>IF(G18="","※","")</f>
        <v>※</v>
      </c>
      <c r="G18" s="494"/>
      <c r="H18" s="42" t="s">
        <v>220</v>
      </c>
      <c r="N18" s="20"/>
      <c r="O18" s="4"/>
      <c r="P18" s="4"/>
      <c r="Q18" s="4"/>
      <c r="R18" s="4"/>
      <c r="S18" s="4"/>
      <c r="T18" s="4"/>
      <c r="U18" s="4"/>
      <c r="V18" s="4"/>
    </row>
    <row r="19" spans="3:22" ht="30" customHeight="1">
      <c r="C19" s="1701" t="s">
        <v>186</v>
      </c>
      <c r="D19" s="1702"/>
      <c r="E19" s="1703"/>
      <c r="F19" s="129"/>
      <c r="G19" s="491" t="str">
        <f>IF(G18="","",((G15-G16)/G18)*100)</f>
        <v/>
      </c>
      <c r="H19" s="42" t="s">
        <v>795</v>
      </c>
      <c r="N19" s="20"/>
      <c r="O19" s="4"/>
      <c r="P19" s="4"/>
      <c r="Q19" s="4"/>
      <c r="R19" s="4"/>
      <c r="S19" s="4"/>
      <c r="T19" s="4"/>
      <c r="U19" s="4"/>
      <c r="V19" s="4"/>
    </row>
    <row r="20" spans="3:22">
      <c r="C20" s="727" t="s">
        <v>718</v>
      </c>
      <c r="D20" s="475"/>
      <c r="E20" s="476"/>
      <c r="F20" s="129" t="str">
        <f>IF(G20="","※","")</f>
        <v>※</v>
      </c>
      <c r="G20" s="176"/>
      <c r="H20" s="42"/>
      <c r="V20" s="4"/>
    </row>
    <row r="21" spans="3:22">
      <c r="C21" s="474" t="s">
        <v>796</v>
      </c>
      <c r="D21" s="475"/>
      <c r="E21" s="477" t="s">
        <v>1964</v>
      </c>
      <c r="F21" s="456" t="str">
        <f>IF(G21="","※",IF(G24="","",IF(J21&gt;J24,"E","")))</f>
        <v>※</v>
      </c>
      <c r="G21" s="490"/>
      <c r="H21" s="154" t="s">
        <v>797</v>
      </c>
      <c r="I21" s="163" t="str">
        <f>IF(F21="E","年の大小を確認して下さい","")</f>
        <v/>
      </c>
      <c r="J21" s="4" t="e">
        <f>VLOOKUP(G21,Table!$A$602:$B$614,2,0)</f>
        <v>#N/A</v>
      </c>
      <c r="K21" s="784" t="str">
        <f>IF(OR(G21="",G22="",G23="")=TRUE,"",DATE(J21,G22,G23))</f>
        <v/>
      </c>
      <c r="V21" s="4"/>
    </row>
    <row r="22" spans="3:22">
      <c r="C22" s="236"/>
      <c r="D22" s="229"/>
      <c r="E22" s="478"/>
      <c r="F22" s="457" t="str">
        <f>IF(G22="","※",IF(G25="","",IF(AND(J21=J24,G22&gt;G25)=TRUE,"E","")))</f>
        <v>※</v>
      </c>
      <c r="G22" s="492"/>
      <c r="H22" s="154" t="s">
        <v>798</v>
      </c>
      <c r="I22" s="163" t="str">
        <f>IF(F22="E","月の大小を確認して下さい","")</f>
        <v/>
      </c>
      <c r="K22" s="785" t="str">
        <f>IF(K21="","E",IF(DAY(K21)=G23,"","E "))</f>
        <v>E</v>
      </c>
      <c r="V22" s="4"/>
    </row>
    <row r="23" spans="3:22">
      <c r="C23" s="236"/>
      <c r="D23" s="229"/>
      <c r="E23" s="478"/>
      <c r="F23" s="458" t="str">
        <f>IF(G23="","※",IF(G26="","",IF(AND(J21=J24,G22=G25,G23&gt;=G26)=TRUE,"E",K22)))</f>
        <v>※</v>
      </c>
      <c r="G23" s="493"/>
      <c r="H23" s="154" t="s">
        <v>799</v>
      </c>
      <c r="I23" s="163" t="str">
        <f>IF(F23="E","日の大小を確認して下さい",IF(F23="E ","日付を確認してください",""))</f>
        <v/>
      </c>
      <c r="K23" s="786"/>
      <c r="V23" s="4"/>
    </row>
    <row r="24" spans="3:22">
      <c r="C24" s="236"/>
      <c r="D24" s="229"/>
      <c r="E24" s="479" t="s">
        <v>1965</v>
      </c>
      <c r="F24" s="456" t="str">
        <f>IF(G24="","※",IF(G21="","",IF(J24&lt;J21,"E","")))</f>
        <v>※</v>
      </c>
      <c r="G24" s="490"/>
      <c r="H24" s="154" t="s">
        <v>797</v>
      </c>
      <c r="I24" s="163" t="str">
        <f>IF(F24="E","年の大小を確認して下さい","")</f>
        <v/>
      </c>
      <c r="J24" s="4" t="e">
        <f>VLOOKUP(G24,Table!$A$602:$B$614,2,0)</f>
        <v>#N/A</v>
      </c>
      <c r="K24" s="784" t="str">
        <f>IF(OR(G24="",G25="",G26="")=TRUE,"",DATE(J24,G25,G26))</f>
        <v/>
      </c>
      <c r="V24" s="4"/>
    </row>
    <row r="25" spans="3:22">
      <c r="C25" s="236"/>
      <c r="D25" s="229"/>
      <c r="E25" s="478"/>
      <c r="F25" s="457" t="str">
        <f>IF(G25="","※",IF(AND(G24=G21,G25&lt;G22)=TRUE,"E",""))</f>
        <v>※</v>
      </c>
      <c r="G25" s="492"/>
      <c r="H25" s="154" t="s">
        <v>798</v>
      </c>
      <c r="I25" s="163" t="str">
        <f>IF(F25="E","月の大小を確認して下さい","")</f>
        <v/>
      </c>
      <c r="K25" s="785" t="str">
        <f>IF(K24="","E",IF(DAY(K24)=G26,"","E "))</f>
        <v>E</v>
      </c>
      <c r="V25" s="4"/>
    </row>
    <row r="26" spans="3:22">
      <c r="C26" s="270"/>
      <c r="D26" s="469"/>
      <c r="E26" s="470"/>
      <c r="F26" s="458" t="str">
        <f>IF(G26="","※",IF(G23="","",IF(AND(G21=G24,G22=G25,G26&lt;=G23)=TRUE,"E",K25)))</f>
        <v>※</v>
      </c>
      <c r="G26" s="493"/>
      <c r="H26" s="154" t="s">
        <v>799</v>
      </c>
      <c r="I26" s="163" t="str">
        <f>IF(F26="E","日の大小を確認して下さい",IF(F26="E ","日付を確認してください",""))</f>
        <v/>
      </c>
      <c r="V26" s="4"/>
    </row>
    <row r="27" spans="3:22">
      <c r="C27" s="474" t="s">
        <v>800</v>
      </c>
      <c r="D27" s="475"/>
      <c r="E27" s="477" t="s">
        <v>1965</v>
      </c>
      <c r="F27" s="456" t="str">
        <f>IF(G27="","※",IF(G21="","",IF(J27&lt;J21,"E","")))</f>
        <v>※</v>
      </c>
      <c r="G27" s="490"/>
      <c r="H27" s="154" t="s">
        <v>797</v>
      </c>
      <c r="I27" s="163" t="str">
        <f>IF(F27="E","年の大小を確認して下さい","")</f>
        <v/>
      </c>
      <c r="J27" s="4" t="e">
        <f>VLOOKUP(G27,Table!$A$602:$B$614,2,0)</f>
        <v>#N/A</v>
      </c>
      <c r="K27" s="784" t="str">
        <f>IF(OR(G27="",G28="",G29="")=TRUE,"",DATE(J27,G28,G29))</f>
        <v/>
      </c>
      <c r="V27" s="4"/>
    </row>
    <row r="28" spans="3:22">
      <c r="C28" s="236"/>
      <c r="D28" s="229"/>
      <c r="E28" s="478"/>
      <c r="F28" s="457" t="str">
        <f>IF(G28="","※",IF(AND(G27=G21,G28&lt;G22)=TRUE,"E",""))</f>
        <v>※</v>
      </c>
      <c r="G28" s="492"/>
      <c r="H28" s="154" t="s">
        <v>798</v>
      </c>
      <c r="I28" s="163" t="str">
        <f>IF(F28="E","月の大小を確認して下さい","")</f>
        <v/>
      </c>
      <c r="K28" s="785" t="str">
        <f>IF(K27="","E",IF(DAY(K27)=G29,"","E "))</f>
        <v>E</v>
      </c>
      <c r="V28" s="4"/>
    </row>
    <row r="29" spans="3:22">
      <c r="C29" s="270"/>
      <c r="D29" s="469"/>
      <c r="E29" s="470"/>
      <c r="F29" s="458" t="str">
        <f>IF(G29="","※",IF(G23="","",IF(AND(G21=G27,G22=G28,G29&lt;G23)=TRUE,"E",K28)))</f>
        <v>※</v>
      </c>
      <c r="G29" s="493"/>
      <c r="H29" s="154" t="s">
        <v>799</v>
      </c>
      <c r="I29" s="163" t="str">
        <f>IF(F29="E","日の大小を確認して下さい",IF(F29="E ","日付を確認してください",""))</f>
        <v/>
      </c>
      <c r="V29" s="4"/>
    </row>
    <row r="30" spans="3:22">
      <c r="C30" s="14" t="s">
        <v>1013</v>
      </c>
      <c r="D30" s="563"/>
      <c r="E30" s="794"/>
      <c r="F30" s="129" t="str">
        <f>IF(G30="","※","")</f>
        <v>※</v>
      </c>
      <c r="G30" s="174"/>
      <c r="H30" s="229"/>
      <c r="V30" s="4"/>
    </row>
    <row r="31" spans="3:22">
      <c r="C31" s="73"/>
      <c r="D31" s="229"/>
      <c r="E31" s="480"/>
      <c r="F31" s="278"/>
      <c r="G31" s="229"/>
      <c r="H31" s="229"/>
      <c r="V31" s="4"/>
    </row>
    <row r="32" spans="3:22">
      <c r="C32" s="838"/>
      <c r="D32" s="838"/>
      <c r="E32" s="839"/>
      <c r="F32" s="840"/>
      <c r="G32" s="838"/>
      <c r="V32" s="4"/>
    </row>
    <row r="33" spans="3:22">
      <c r="C33" s="403" t="s">
        <v>579</v>
      </c>
      <c r="D33" s="404"/>
      <c r="E33" s="405"/>
      <c r="F33" s="173"/>
      <c r="G33" s="406"/>
      <c r="V33" s="4"/>
    </row>
    <row r="34" spans="3:22">
      <c r="C34" s="407" t="s">
        <v>580</v>
      </c>
      <c r="D34" s="74"/>
      <c r="E34" s="408"/>
      <c r="F34" s="166"/>
      <c r="G34" s="409"/>
      <c r="V34" s="4"/>
    </row>
    <row r="35" spans="3:22">
      <c r="C35" s="407" t="s">
        <v>581</v>
      </c>
      <c r="D35" s="408"/>
      <c r="E35" s="75"/>
      <c r="F35" s="169"/>
      <c r="G35" s="410"/>
      <c r="V35" s="4"/>
    </row>
    <row r="36" spans="3:22">
      <c r="C36" s="407" t="s">
        <v>582</v>
      </c>
      <c r="D36" s="411"/>
      <c r="E36" s="411"/>
      <c r="F36" s="185"/>
      <c r="G36" s="412"/>
      <c r="V36" s="4"/>
    </row>
    <row r="37" spans="3:22">
      <c r="C37" s="413" t="s">
        <v>583</v>
      </c>
      <c r="D37" s="172"/>
      <c r="E37" s="414"/>
      <c r="F37" s="172"/>
      <c r="G37" s="415"/>
      <c r="V37" s="4"/>
    </row>
    <row r="38" spans="3:22">
      <c r="V38" s="4"/>
    </row>
    <row r="39" spans="3:22">
      <c r="V39" s="4"/>
    </row>
    <row r="40" spans="3:22">
      <c r="V40" s="4"/>
    </row>
    <row r="41" spans="3:22">
      <c r="V41" s="4"/>
    </row>
    <row r="42" spans="3:22">
      <c r="V42" s="4"/>
    </row>
    <row r="43" spans="3:22">
      <c r="V43" s="4"/>
    </row>
    <row r="44" spans="3:22">
      <c r="V44" s="4"/>
    </row>
    <row r="45" spans="3:22">
      <c r="V45" s="4"/>
    </row>
    <row r="46" spans="3:22">
      <c r="V46" s="4"/>
    </row>
    <row r="47" spans="3:22">
      <c r="V47" s="4"/>
    </row>
    <row r="48" spans="3:22">
      <c r="V48" s="4"/>
    </row>
    <row r="49" spans="5:22">
      <c r="V49" s="4"/>
    </row>
    <row r="50" spans="5:22">
      <c r="V50" s="4"/>
    </row>
    <row r="51" spans="5:22">
      <c r="V51" s="4"/>
    </row>
    <row r="52" spans="5:22">
      <c r="V52" s="4"/>
    </row>
    <row r="53" spans="5:22">
      <c r="V53" s="4"/>
    </row>
    <row r="54" spans="5:22">
      <c r="V54" s="4"/>
    </row>
    <row r="55" spans="5:22">
      <c r="V55" s="4"/>
    </row>
    <row r="56" spans="5:22">
      <c r="V56" s="4"/>
    </row>
    <row r="57" spans="5:22">
      <c r="V57" s="4"/>
    </row>
    <row r="58" spans="5:22">
      <c r="E58" s="42"/>
      <c r="V58" s="4"/>
    </row>
    <row r="59" spans="5:22">
      <c r="V59" s="4"/>
    </row>
    <row r="60" spans="5:22">
      <c r="V60" s="4"/>
    </row>
    <row r="61" spans="5:22">
      <c r="G61" s="170"/>
      <c r="V61" s="4"/>
    </row>
    <row r="62" spans="5:22">
      <c r="V62" s="4"/>
    </row>
    <row r="63" spans="5:22">
      <c r="V63" s="4"/>
    </row>
    <row r="64" spans="5:22">
      <c r="V64" s="4"/>
    </row>
    <row r="65" spans="22:22">
      <c r="V65" s="4"/>
    </row>
    <row r="66" spans="22:22">
      <c r="V66" s="4"/>
    </row>
    <row r="67" spans="22:22">
      <c r="V67" s="4"/>
    </row>
    <row r="68" spans="22:22">
      <c r="V68" s="4"/>
    </row>
    <row r="69" spans="22:22">
      <c r="V69" s="4"/>
    </row>
  </sheetData>
  <sheetProtection algorithmName="SHA-512" hashValue="GsRytc1Td1rcj2LMdUq9D5qomwxwxo+TNitoPqvZ36qipmU5yhYBGI9pJ55Mp/8zyrCdyJm29Z+Y6frFt69vuA==" saltValue="NMbphonhsskjyDdLmRUU4A==" spinCount="100000" sheet="1" objects="1" scenarios="1"/>
  <dataConsolidate/>
  <mergeCells count="2">
    <mergeCell ref="C17:E17"/>
    <mergeCell ref="C19:E19"/>
  </mergeCells>
  <phoneticPr fontId="5"/>
  <dataValidations xWindow="576" yWindow="189" count="11">
    <dataValidation type="custom" allowBlank="1" showInputMessage="1" showErrorMessage="1" sqref="G7:G8 G4" xr:uid="{00000000-0002-0000-0100-000000000000}">
      <formula1>TRIM(G4)&lt;&gt;""</formula1>
    </dataValidation>
    <dataValidation allowBlank="1" showInputMessage="1" showErrorMessage="1" sqref="G19 G5 G17" xr:uid="{00000000-0002-0000-0100-000001000000}"/>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2000000}">
      <formula1>1</formula1>
      <formula2>9999999999</formula2>
    </dataValidation>
    <dataValidation type="whole" allowBlank="1" showInputMessage="1" showErrorMessage="1" sqref="G10 G18 G15:G16" xr:uid="{00000000-0002-0000-0100-000003000000}">
      <formula1>1</formula1>
      <formula2>9999999999</formula2>
    </dataValidation>
    <dataValidation type="list" allowBlank="1" showInputMessage="1" showErrorMessage="1" sqref="G13" xr:uid="{00000000-0002-0000-0100-000004000000}">
      <formula1>工事種別</formula1>
    </dataValidation>
    <dataValidation type="list" allowBlank="1" showInputMessage="1" showErrorMessage="1" sqref="G20" xr:uid="{00000000-0002-0000-0100-000005000000}">
      <formula1>一般管理費等の前払い金支出割合</formula1>
    </dataValidation>
    <dataValidation type="list" showInputMessage="1" showErrorMessage="1" promptTitle="発注者コード" prompt="リストから選択してください。_x000a_マニュアル参照" sqref="G6" xr:uid="{00000000-0002-0000-0100-000007000000}">
      <formula1>所管名2</formula1>
    </dataValidation>
    <dataValidation type="list" allowBlank="1" showInputMessage="1" showErrorMessage="1" sqref="G30" xr:uid="{00000000-0002-0000-0100-000008000000}">
      <formula1>低入札工事の有無</formula1>
    </dataValidation>
    <dataValidation type="list" allowBlank="1" showInputMessage="1" showErrorMessage="1" sqref="G21 G24 G27" xr:uid="{57C7DEEA-B0A9-4F4C-98E6-EFFEC14D48A2}">
      <formula1>年</formula1>
    </dataValidation>
    <dataValidation type="list" allowBlank="1" showInputMessage="1" showErrorMessage="1" sqref="G22 G25 G28" xr:uid="{BE434388-06B3-4FA2-A7D8-2F4645AFCBAA}">
      <formula1>月</formula1>
    </dataValidation>
    <dataValidation type="list" allowBlank="1" showInputMessage="1" showErrorMessage="1" sqref="G23 G26 G29" xr:uid="{C61E1F75-9DFD-4947-8E01-EEF6CB617F86}">
      <formula1>日</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4"/>
  </sheetPr>
  <dimension ref="A1:P1909"/>
  <sheetViews>
    <sheetView showGridLines="0" topLeftCell="A2" zoomScaleNormal="100" zoomScaleSheetLayoutView="100" workbookViewId="0"/>
  </sheetViews>
  <sheetFormatPr defaultRowHeight="13.5"/>
  <cols>
    <col min="1" max="1" width="2.625" style="3" customWidth="1"/>
    <col min="2" max="2" width="3.625" style="3" customWidth="1"/>
    <col min="3" max="3" width="2.5" style="3" customWidth="1"/>
    <col min="4" max="4" width="30" style="3" customWidth="1"/>
    <col min="5" max="5" width="3.375" style="130" customWidth="1"/>
    <col min="6" max="6" width="44.625" customWidth="1"/>
    <col min="7" max="7" width="24" customWidth="1"/>
    <col min="8" max="8" width="27.625" style="19" hidden="1" customWidth="1"/>
    <col min="9" max="15" width="9" hidden="1" customWidth="1"/>
  </cols>
  <sheetData>
    <row r="1" spans="1:16" s="17" customFormat="1" ht="16.5" hidden="1" customHeight="1">
      <c r="A1" s="604" t="s">
        <v>534</v>
      </c>
      <c r="B1" s="604">
        <f>COUNTIF($E$5:$E$69,"※")</f>
        <v>34</v>
      </c>
      <c r="C1" s="605" t="s">
        <v>535</v>
      </c>
      <c r="D1" s="604">
        <f>COUNTIF($E$10:$E$69,"E")</f>
        <v>0</v>
      </c>
      <c r="E1" s="130"/>
      <c r="F1" s="3"/>
      <c r="G1" s="3"/>
      <c r="H1" s="483"/>
    </row>
    <row r="2" spans="1:16" s="3" customFormat="1" ht="27" customHeight="1">
      <c r="A2" s="17"/>
      <c r="B2" s="17"/>
      <c r="C2" s="17"/>
      <c r="E2" s="130"/>
      <c r="G2" s="1644"/>
      <c r="H2" s="19"/>
      <c r="P2" s="1644"/>
    </row>
    <row r="3" spans="1:16" s="17" customFormat="1" ht="24" customHeight="1">
      <c r="B3" s="1716" t="s">
        <v>602</v>
      </c>
      <c r="C3" s="1717"/>
      <c r="D3" s="1718"/>
      <c r="E3" s="1705" t="str">
        <f>IF(工事情報!G4="","",工事情報!G4)</f>
        <v/>
      </c>
      <c r="F3" s="1706"/>
      <c r="G3" s="3"/>
      <c r="H3" s="19"/>
    </row>
    <row r="4" spans="1:16" s="3" customFormat="1" ht="12" customHeight="1">
      <c r="A4" s="17"/>
      <c r="B4" s="17"/>
      <c r="E4" s="130"/>
      <c r="H4" s="19"/>
    </row>
    <row r="5" spans="1:16" s="3" customFormat="1" ht="30" customHeight="1">
      <c r="A5" s="17"/>
      <c r="B5" s="17"/>
      <c r="C5" s="1719" t="s">
        <v>1801</v>
      </c>
      <c r="D5" s="1718"/>
      <c r="E5" s="129" t="str">
        <f t="shared" ref="E5" si="0">IF(F5="","※","")</f>
        <v>※</v>
      </c>
      <c r="F5" s="587"/>
      <c r="G5" s="1225" t="str">
        <f>IF(F5="","*整理番号を入力して下さい。","")</f>
        <v>*整理番号を入力して下さい。</v>
      </c>
      <c r="H5" s="19"/>
    </row>
    <row r="6" spans="1:16" s="3" customFormat="1" ht="13.5" customHeight="1">
      <c r="A6" s="17"/>
      <c r="B6" s="17"/>
      <c r="E6" s="130"/>
      <c r="H6" s="19"/>
    </row>
    <row r="7" spans="1:16" s="3" customFormat="1" ht="13.5" customHeight="1">
      <c r="A7" s="17"/>
      <c r="B7" s="17"/>
      <c r="C7" s="3" t="s">
        <v>326</v>
      </c>
      <c r="E7" s="130"/>
      <c r="H7" s="19"/>
    </row>
    <row r="8" spans="1:16" s="3" customFormat="1" ht="13.5" customHeight="1">
      <c r="B8" s="17"/>
      <c r="C8" s="17"/>
      <c r="D8" s="42"/>
      <c r="E8" s="130"/>
      <c r="H8" s="19"/>
    </row>
    <row r="9" spans="1:16" s="3" customFormat="1" ht="13.5" customHeight="1">
      <c r="A9" s="17"/>
      <c r="B9" s="65" t="s">
        <v>324</v>
      </c>
      <c r="C9" s="64" t="s">
        <v>212</v>
      </c>
      <c r="D9" s="12"/>
      <c r="E9" s="130"/>
      <c r="H9" s="19"/>
    </row>
    <row r="10" spans="1:16" s="3" customFormat="1" ht="24" customHeight="1">
      <c r="C10" s="208"/>
      <c r="D10" s="209" t="s">
        <v>568</v>
      </c>
      <c r="E10" s="129" t="str">
        <f t="shared" ref="E10:E16" si="1">IF(F10="","※","")</f>
        <v>※</v>
      </c>
      <c r="F10" s="1328"/>
      <c r="G10" s="13"/>
      <c r="H10" s="19"/>
    </row>
    <row r="11" spans="1:16" s="3" customFormat="1" ht="24" customHeight="1">
      <c r="B11" s="17"/>
      <c r="C11" s="14"/>
      <c r="D11" s="35" t="s">
        <v>155</v>
      </c>
      <c r="E11" s="129" t="str">
        <f t="shared" si="1"/>
        <v>※</v>
      </c>
      <c r="F11" s="587"/>
      <c r="G11" s="13"/>
      <c r="H11" s="19"/>
    </row>
    <row r="12" spans="1:16" s="3" customFormat="1" ht="24" customHeight="1">
      <c r="B12" s="17"/>
      <c r="C12" s="14"/>
      <c r="D12" s="35" t="s">
        <v>156</v>
      </c>
      <c r="E12" s="129" t="str">
        <f t="shared" si="1"/>
        <v>※</v>
      </c>
      <c r="F12" s="587"/>
      <c r="G12" s="13"/>
      <c r="H12" s="19"/>
    </row>
    <row r="13" spans="1:16" s="3" customFormat="1" ht="24" customHeight="1">
      <c r="B13" s="17"/>
      <c r="C13" s="14"/>
      <c r="D13" s="35" t="s">
        <v>202</v>
      </c>
      <c r="E13" s="129" t="str">
        <f t="shared" si="1"/>
        <v>※</v>
      </c>
      <c r="F13" s="587"/>
      <c r="G13" s="13"/>
      <c r="H13" s="76"/>
    </row>
    <row r="14" spans="1:16" s="3" customFormat="1" ht="24" customHeight="1">
      <c r="B14" s="17"/>
      <c r="C14" s="14"/>
      <c r="D14" s="196" t="s">
        <v>339</v>
      </c>
      <c r="E14" s="129" t="str">
        <f t="shared" si="1"/>
        <v>※</v>
      </c>
      <c r="F14" s="587"/>
      <c r="H14" s="19"/>
    </row>
    <row r="15" spans="1:16" s="3" customFormat="1" ht="24" customHeight="1">
      <c r="B15" s="17"/>
      <c r="C15" s="14"/>
      <c r="D15" s="35" t="s">
        <v>239</v>
      </c>
      <c r="E15" s="129" t="str">
        <f t="shared" si="1"/>
        <v>※</v>
      </c>
      <c r="F15" s="587"/>
      <c r="G15" s="55" t="s">
        <v>214</v>
      </c>
      <c r="H15" s="19"/>
    </row>
    <row r="16" spans="1:16" ht="24" customHeight="1">
      <c r="B16" s="17"/>
      <c r="C16" s="14"/>
      <c r="D16" s="35" t="s">
        <v>451</v>
      </c>
      <c r="E16" s="129" t="str">
        <f t="shared" si="1"/>
        <v>※</v>
      </c>
      <c r="F16" s="1327"/>
      <c r="G16" s="55" t="s">
        <v>215</v>
      </c>
    </row>
    <row r="17" spans="2:8" s="3" customFormat="1">
      <c r="B17" s="17"/>
      <c r="C17" s="17"/>
      <c r="D17" s="17"/>
      <c r="E17" s="130"/>
      <c r="F17" s="17"/>
      <c r="G17" s="17"/>
      <c r="H17" s="19"/>
    </row>
    <row r="18" spans="2:8" s="3" customFormat="1" ht="13.5" customHeight="1">
      <c r="B18" s="21" t="s">
        <v>325</v>
      </c>
      <c r="C18" s="9" t="s">
        <v>573</v>
      </c>
      <c r="D18" s="620"/>
      <c r="E18" s="130"/>
      <c r="F18" s="2"/>
      <c r="H18" s="19"/>
    </row>
    <row r="19" spans="2:8" ht="24" customHeight="1">
      <c r="C19" s="14"/>
      <c r="D19" s="12" t="s">
        <v>213</v>
      </c>
      <c r="E19" s="129" t="str">
        <f t="shared" ref="E19:E25" si="2">IF(F19="","※","")</f>
        <v>※</v>
      </c>
      <c r="F19" s="174"/>
      <c r="G19" s="163" t="str">
        <f>IF(E19="E","所管名を確認して下さい。","")</f>
        <v/>
      </c>
    </row>
    <row r="20" spans="2:8" ht="24" customHeight="1">
      <c r="C20" s="14"/>
      <c r="D20" s="12" t="s">
        <v>572</v>
      </c>
      <c r="E20" s="129" t="str">
        <f t="shared" si="2"/>
        <v>※</v>
      </c>
      <c r="F20" s="176"/>
      <c r="G20" s="163" t="str">
        <f>IF(E20="E","所管名を確認して下さい。","")</f>
        <v/>
      </c>
    </row>
    <row r="21" spans="2:8" ht="24" customHeight="1">
      <c r="C21" s="14"/>
      <c r="D21" s="35" t="s">
        <v>898</v>
      </c>
      <c r="E21" s="129" t="str">
        <f t="shared" si="2"/>
        <v>※</v>
      </c>
      <c r="F21" s="734"/>
      <c r="G21" s="163" t="str">
        <f>IF(E21="E","もう１度選択して下さい。","")</f>
        <v/>
      </c>
    </row>
    <row r="22" spans="2:8" ht="24" customHeight="1">
      <c r="C22" s="14"/>
      <c r="D22" s="35" t="s">
        <v>1653</v>
      </c>
      <c r="E22" s="129" t="str">
        <f t="shared" si="2"/>
        <v>※</v>
      </c>
      <c r="F22" s="899"/>
      <c r="G22" s="3"/>
    </row>
    <row r="23" spans="2:8" ht="24" customHeight="1">
      <c r="C23" s="9"/>
      <c r="D23" s="269" t="s">
        <v>237</v>
      </c>
      <c r="E23" s="129" t="str">
        <f t="shared" si="2"/>
        <v>※</v>
      </c>
      <c r="F23" s="900"/>
      <c r="G23" s="3"/>
    </row>
    <row r="24" spans="2:8" ht="24" customHeight="1">
      <c r="C24" s="9"/>
      <c r="D24" s="269" t="s">
        <v>1655</v>
      </c>
      <c r="E24" s="129" t="str">
        <f t="shared" si="2"/>
        <v>※</v>
      </c>
      <c r="F24" s="900"/>
      <c r="G24" s="3"/>
      <c r="H24" s="19" t="e">
        <f>HLOOKUP(F24,Table!A148:F149,2,0)</f>
        <v>#N/A</v>
      </c>
    </row>
    <row r="25" spans="2:8" ht="24" customHeight="1">
      <c r="C25" s="527"/>
      <c r="D25" s="1707" t="s">
        <v>914</v>
      </c>
      <c r="E25" s="1710" t="str">
        <f t="shared" si="2"/>
        <v>※</v>
      </c>
      <c r="F25" s="1713"/>
      <c r="G25" s="1704"/>
    </row>
    <row r="26" spans="2:8" ht="24" customHeight="1">
      <c r="C26" s="528"/>
      <c r="D26" s="1708"/>
      <c r="E26" s="1711"/>
      <c r="F26" s="1714"/>
      <c r="G26" s="1704"/>
    </row>
    <row r="27" spans="2:8" ht="24" customHeight="1">
      <c r="C27" s="510"/>
      <c r="D27" s="1709"/>
      <c r="E27" s="1712"/>
      <c r="F27" s="1715"/>
      <c r="G27" s="1704"/>
    </row>
    <row r="28" spans="2:8" ht="24" customHeight="1">
      <c r="C28" s="14"/>
      <c r="D28" s="6" t="s">
        <v>1463</v>
      </c>
      <c r="E28" s="129" t="str">
        <f>IF(OR(LEFT(F20,3)="371",LEFT(F20,3)="372"),IF(F28="","※",""),IF(F28&lt;&gt;"","E",""))</f>
        <v/>
      </c>
      <c r="F28" s="899"/>
      <c r="G28" s="923" t="str">
        <f>IF(OR(LEFT(F20,3)="371",LEFT(F20,3)="372",F20=""),"","←入力不要")</f>
        <v/>
      </c>
    </row>
    <row r="29" spans="2:8">
      <c r="F29" s="515"/>
      <c r="G29" s="3"/>
    </row>
    <row r="30" spans="2:8">
      <c r="B30" s="194" t="s">
        <v>170</v>
      </c>
      <c r="C30" s="226" t="s">
        <v>176</v>
      </c>
      <c r="D30" s="533"/>
      <c r="E30" s="509"/>
      <c r="F30" s="73"/>
      <c r="G30" s="3"/>
    </row>
    <row r="31" spans="2:8" ht="24.75" customHeight="1">
      <c r="B31" s="210"/>
      <c r="C31" s="9"/>
      <c r="D31" s="1536" t="s">
        <v>1979</v>
      </c>
      <c r="E31" s="132" t="str">
        <f>IF(F31="","※","")</f>
        <v>※</v>
      </c>
      <c r="F31" s="524"/>
      <c r="G31" s="210"/>
    </row>
    <row r="32" spans="2:8" ht="24.75" customHeight="1">
      <c r="B32" s="210"/>
      <c r="C32" s="118"/>
      <c r="D32" s="1542" t="s">
        <v>1980</v>
      </c>
      <c r="E32" s="133" t="str">
        <f>IF(F32="","※","")</f>
        <v>※</v>
      </c>
      <c r="F32" s="123"/>
      <c r="G32" s="531" t="str">
        <f>IF(E32="※","市町村名を入力して下さい。","")</f>
        <v>市町村名を入力して下さい。</v>
      </c>
    </row>
    <row r="33" spans="1:8">
      <c r="B33" s="210"/>
      <c r="C33" s="269"/>
      <c r="D33" s="551"/>
      <c r="E33" s="416"/>
      <c r="F33" s="523"/>
      <c r="G33" s="3"/>
      <c r="H33" s="550"/>
    </row>
    <row r="34" spans="1:8" ht="15" customHeight="1">
      <c r="B34" s="194" t="s">
        <v>89</v>
      </c>
      <c r="C34" s="925" t="s">
        <v>1467</v>
      </c>
      <c r="D34" s="533"/>
      <c r="E34" s="509"/>
      <c r="G34" s="3"/>
      <c r="H34" s="550"/>
    </row>
    <row r="35" spans="1:8" ht="30" customHeight="1">
      <c r="B35" s="924"/>
      <c r="C35" s="226"/>
      <c r="D35" s="1207" t="s">
        <v>1663</v>
      </c>
      <c r="E35" s="129" t="str">
        <f>IF(F35="","※","")</f>
        <v>※</v>
      </c>
      <c r="F35" s="571"/>
      <c r="G35" s="532"/>
      <c r="H35" s="550"/>
    </row>
    <row r="36" spans="1:8" ht="27">
      <c r="B36" s="219"/>
      <c r="C36" s="14"/>
      <c r="D36" s="926" t="s">
        <v>1656</v>
      </c>
      <c r="E36" s="129" t="str">
        <f t="shared" ref="E36:E39" si="3">IF(F36="","※","")</f>
        <v>※</v>
      </c>
      <c r="F36" s="571"/>
      <c r="G36" s="532"/>
      <c r="H36" s="550"/>
    </row>
    <row r="37" spans="1:8" ht="24" customHeight="1">
      <c r="B37" s="219"/>
      <c r="C37" s="14"/>
      <c r="D37" s="926" t="s">
        <v>1657</v>
      </c>
      <c r="E37" s="129" t="str">
        <f t="shared" si="3"/>
        <v>※</v>
      </c>
      <c r="F37" s="571"/>
      <c r="G37" s="532"/>
      <c r="H37" s="550"/>
    </row>
    <row r="38" spans="1:8" s="1220" customFormat="1" ht="24" customHeight="1">
      <c r="A38" s="3"/>
      <c r="B38" s="219"/>
      <c r="C38" s="14"/>
      <c r="D38" s="926" t="s">
        <v>1802</v>
      </c>
      <c r="E38" s="129" t="str">
        <f t="shared" si="3"/>
        <v>※</v>
      </c>
      <c r="F38" s="571"/>
      <c r="G38" s="532"/>
      <c r="H38" s="550"/>
    </row>
    <row r="39" spans="1:8" s="1534" customFormat="1" ht="24" customHeight="1">
      <c r="A39" s="3"/>
      <c r="B39" s="219"/>
      <c r="C39" s="14"/>
      <c r="D39" s="1142" t="s">
        <v>5293</v>
      </c>
      <c r="E39" s="129" t="str">
        <f t="shared" si="3"/>
        <v>※</v>
      </c>
      <c r="F39" s="571"/>
      <c r="G39" s="532"/>
      <c r="H39" s="550"/>
    </row>
    <row r="40" spans="1:8">
      <c r="B40" s="219"/>
      <c r="C40" s="210"/>
      <c r="D40" s="922"/>
      <c r="G40" s="210"/>
      <c r="H40" s="550"/>
    </row>
    <row r="41" spans="1:8">
      <c r="B41" s="194" t="s">
        <v>219</v>
      </c>
      <c r="C41" s="925" t="s">
        <v>1468</v>
      </c>
      <c r="D41" s="533"/>
      <c r="E41" s="509"/>
      <c r="G41" s="532"/>
      <c r="H41" s="619"/>
    </row>
    <row r="42" spans="1:8" ht="30" customHeight="1">
      <c r="B42" s="924"/>
      <c r="C42" s="14"/>
      <c r="D42" s="1207" t="s">
        <v>1663</v>
      </c>
      <c r="E42" s="129"/>
      <c r="F42" s="1145" t="str">
        <f>IF(F35="","",VLOOKUP(F35,Table!$A$169:$B$178,2,0))</f>
        <v/>
      </c>
      <c r="G42" s="210"/>
      <c r="H42" s="1157" t="str">
        <f>IF(ISERROR(VALUE(LEFT(F35,1))),"",VALUE(LEFT(F35,1)))</f>
        <v/>
      </c>
    </row>
    <row r="43" spans="1:8" ht="27">
      <c r="B43" s="219"/>
      <c r="C43" s="14"/>
      <c r="D43" s="926" t="s">
        <v>1656</v>
      </c>
      <c r="E43" s="129"/>
      <c r="F43" s="1145" t="str">
        <f>IF(F36="","",IF(LEFT(F36,1)="2",Table!A188,Table!A187))</f>
        <v/>
      </c>
      <c r="G43" s="210"/>
      <c r="H43" s="3"/>
    </row>
    <row r="44" spans="1:8" ht="24.75" customHeight="1">
      <c r="B44" s="219"/>
      <c r="C44" s="14"/>
      <c r="D44" s="926" t="s">
        <v>1657</v>
      </c>
      <c r="E44" s="129"/>
      <c r="F44" s="1145" t="str">
        <f>IF(F37="","",IF(OR(LEFT(F37,1)="1",LEFT(F37,1)="2"),"1：補正有り（×1.1）","2：補正無し"))</f>
        <v/>
      </c>
      <c r="G44" s="210"/>
      <c r="H44" s="3"/>
    </row>
    <row r="45" spans="1:8" s="1220" customFormat="1" ht="24.75" customHeight="1">
      <c r="A45" s="3"/>
      <c r="B45" s="219"/>
      <c r="C45" s="14"/>
      <c r="D45" s="926" t="s">
        <v>1802</v>
      </c>
      <c r="E45" s="129"/>
      <c r="F45" s="1226" t="str">
        <f>IF(F38="","",IF(LEFT(F38,1)="1","1：補正有り（×1.1）","2：補正無し"))</f>
        <v/>
      </c>
      <c r="G45" s="210"/>
      <c r="H45" s="3"/>
    </row>
    <row r="46" spans="1:8" ht="27">
      <c r="B46" s="219"/>
      <c r="C46" s="14"/>
      <c r="D46" s="926" t="s">
        <v>1469</v>
      </c>
      <c r="E46" s="129" t="str">
        <f t="shared" ref="E46:E48" si="4">IF(F46="","※","")</f>
        <v>※</v>
      </c>
      <c r="F46" s="571"/>
      <c r="G46" s="210"/>
      <c r="H46" s="550"/>
    </row>
    <row r="47" spans="1:8" ht="24.75" customHeight="1">
      <c r="B47" s="219"/>
      <c r="C47" s="14"/>
      <c r="D47" s="926" t="s">
        <v>1470</v>
      </c>
      <c r="E47" s="129" t="str">
        <f t="shared" si="4"/>
        <v>※</v>
      </c>
      <c r="F47" s="571"/>
      <c r="G47" s="210"/>
      <c r="H47" s="550"/>
    </row>
    <row r="48" spans="1:8" s="1220" customFormat="1" ht="36" customHeight="1">
      <c r="A48" s="3"/>
      <c r="B48" s="219"/>
      <c r="C48" s="14"/>
      <c r="D48" s="926" t="s">
        <v>1803</v>
      </c>
      <c r="E48" s="134" t="str">
        <f t="shared" si="4"/>
        <v>※</v>
      </c>
      <c r="F48" s="1332"/>
      <c r="G48" s="210"/>
      <c r="H48" s="550"/>
    </row>
    <row r="49" spans="1:8">
      <c r="B49" s="219"/>
      <c r="C49" s="269"/>
      <c r="D49" s="551"/>
      <c r="E49" s="416"/>
      <c r="F49" s="591"/>
      <c r="G49" s="210"/>
      <c r="H49" s="550"/>
    </row>
    <row r="50" spans="1:8">
      <c r="B50" s="928" t="s">
        <v>1471</v>
      </c>
      <c r="C50" s="925" t="s">
        <v>1629</v>
      </c>
      <c r="D50" s="930"/>
      <c r="F50" s="927"/>
      <c r="G50" s="210"/>
      <c r="H50" s="550"/>
    </row>
    <row r="51" spans="1:8" ht="24.75" customHeight="1">
      <c r="B51" s="929"/>
      <c r="C51" s="14"/>
      <c r="D51" s="926" t="s">
        <v>1630</v>
      </c>
      <c r="E51" s="129" t="str">
        <f t="shared" ref="E51" si="5">IF(F51="","※","")</f>
        <v>※</v>
      </c>
      <c r="F51" s="571"/>
      <c r="G51" s="210"/>
      <c r="H51" s="550"/>
    </row>
    <row r="52" spans="1:8" ht="13.5" customHeight="1">
      <c r="B52" s="77"/>
      <c r="D52" s="41"/>
      <c r="F52" s="1149"/>
      <c r="G52" s="210"/>
      <c r="H52" s="550"/>
    </row>
    <row r="53" spans="1:8">
      <c r="B53" s="21" t="s">
        <v>1631</v>
      </c>
      <c r="C53" s="925" t="s">
        <v>1946</v>
      </c>
      <c r="D53" s="1142"/>
      <c r="E53" s="1147"/>
      <c r="F53" s="840"/>
      <c r="G53" s="210"/>
      <c r="H53" s="550"/>
    </row>
    <row r="54" spans="1:8" ht="24.75" customHeight="1">
      <c r="B54" s="1148"/>
      <c r="C54" s="14"/>
      <c r="D54" s="926" t="s">
        <v>1946</v>
      </c>
      <c r="E54" s="129" t="str">
        <f t="shared" ref="E54" si="6">IF(F54="","※","")</f>
        <v>※</v>
      </c>
      <c r="F54" s="571"/>
      <c r="G54" s="210"/>
      <c r="H54" s="550"/>
    </row>
    <row r="55" spans="1:8">
      <c r="B55" s="219"/>
      <c r="C55" s="210"/>
      <c r="D55" s="922"/>
      <c r="F55" s="927"/>
      <c r="G55" s="210"/>
      <c r="H55" s="550"/>
    </row>
    <row r="56" spans="1:8">
      <c r="B56" s="928" t="s">
        <v>1658</v>
      </c>
      <c r="C56" s="925" t="s">
        <v>1659</v>
      </c>
      <c r="D56" s="1142"/>
      <c r="E56" s="1147"/>
      <c r="F56" s="927"/>
      <c r="G56" s="210"/>
      <c r="H56" s="550"/>
    </row>
    <row r="57" spans="1:8" ht="24" customHeight="1">
      <c r="B57" s="1148"/>
      <c r="C57" s="14"/>
      <c r="D57" s="926" t="s">
        <v>1660</v>
      </c>
      <c r="E57" s="1150" t="str">
        <f>IF(F57="","※","")</f>
        <v>※</v>
      </c>
      <c r="F57" s="571"/>
      <c r="G57" s="210"/>
      <c r="H57" s="550"/>
    </row>
    <row r="58" spans="1:8">
      <c r="B58" s="219"/>
      <c r="C58" s="210"/>
      <c r="D58" s="922"/>
      <c r="F58" s="927"/>
      <c r="G58" s="210"/>
      <c r="H58" s="550"/>
    </row>
    <row r="59" spans="1:8">
      <c r="B59" s="928" t="s">
        <v>1661</v>
      </c>
      <c r="C59" s="925" t="s">
        <v>1621</v>
      </c>
      <c r="D59" s="1142"/>
      <c r="E59" s="509"/>
      <c r="G59" s="210"/>
      <c r="H59" s="550"/>
    </row>
    <row r="60" spans="1:8" ht="24" hidden="1" customHeight="1">
      <c r="A60" s="1151"/>
      <c r="B60" s="929"/>
      <c r="C60" s="14"/>
      <c r="D60" s="1142"/>
      <c r="E60" s="129"/>
      <c r="F60" s="571"/>
      <c r="G60" s="210"/>
      <c r="H60" s="550"/>
    </row>
    <row r="61" spans="1:8" ht="24" hidden="1" customHeight="1">
      <c r="A61" s="1151"/>
      <c r="B61" s="77"/>
      <c r="C61" s="14"/>
      <c r="D61" s="1142"/>
      <c r="E61" s="129"/>
      <c r="F61" s="571"/>
      <c r="G61" s="210"/>
      <c r="H61" s="550"/>
    </row>
    <row r="62" spans="1:8" ht="24" customHeight="1">
      <c r="B62" s="77"/>
      <c r="C62" s="14"/>
      <c r="D62" s="1142" t="s">
        <v>1639</v>
      </c>
      <c r="E62" s="129" t="str">
        <f t="shared" ref="E62:E66" si="7">IF(F62="","※","")</f>
        <v>※</v>
      </c>
      <c r="F62" s="571"/>
      <c r="G62" s="210"/>
      <c r="H62" s="550"/>
    </row>
    <row r="63" spans="1:8" ht="24" customHeight="1">
      <c r="B63" s="77"/>
      <c r="C63" s="14"/>
      <c r="D63" s="1142" t="s">
        <v>1640</v>
      </c>
      <c r="E63" s="129" t="str">
        <f t="shared" si="7"/>
        <v>※</v>
      </c>
      <c r="F63" s="571"/>
      <c r="G63" s="210"/>
      <c r="H63" s="550"/>
    </row>
    <row r="64" spans="1:8" ht="27">
      <c r="B64" s="77"/>
      <c r="C64" s="14"/>
      <c r="D64" s="1142" t="s">
        <v>1641</v>
      </c>
      <c r="E64" s="129" t="str">
        <f t="shared" si="7"/>
        <v>※</v>
      </c>
      <c r="F64" s="571"/>
      <c r="G64" s="210"/>
      <c r="H64" s="550"/>
    </row>
    <row r="65" spans="1:8" ht="24" customHeight="1">
      <c r="B65" s="77"/>
      <c r="C65" s="14"/>
      <c r="D65" s="1142" t="s">
        <v>1642</v>
      </c>
      <c r="E65" s="129" t="str">
        <f t="shared" si="7"/>
        <v>※</v>
      </c>
      <c r="F65" s="571"/>
      <c r="G65" s="210"/>
      <c r="H65" s="550"/>
    </row>
    <row r="66" spans="1:8" ht="36" customHeight="1">
      <c r="B66" s="77"/>
      <c r="C66" s="14"/>
      <c r="D66" s="1142" t="s">
        <v>1643</v>
      </c>
      <c r="E66" s="129" t="str">
        <f t="shared" si="7"/>
        <v>※</v>
      </c>
      <c r="F66" s="571"/>
      <c r="G66" s="210"/>
      <c r="H66" s="550"/>
    </row>
    <row r="67" spans="1:8">
      <c r="B67" s="219"/>
      <c r="C67" s="210"/>
      <c r="D67" s="922"/>
      <c r="F67" s="927"/>
      <c r="G67" s="210"/>
      <c r="H67" s="550"/>
    </row>
    <row r="68" spans="1:8" s="1534" customFormat="1">
      <c r="A68" s="3"/>
      <c r="B68" s="1531" t="s">
        <v>5292</v>
      </c>
      <c r="C68" s="1537" t="s">
        <v>5290</v>
      </c>
      <c r="D68" s="926"/>
      <c r="E68" s="1147"/>
      <c r="F68" s="1546"/>
      <c r="G68" s="210"/>
      <c r="H68" s="550"/>
    </row>
    <row r="69" spans="1:8" s="1534" customFormat="1" ht="27">
      <c r="A69" s="3"/>
      <c r="B69" s="1532"/>
      <c r="C69" s="925"/>
      <c r="D69" s="926" t="s">
        <v>5291</v>
      </c>
      <c r="E69" s="129" t="str">
        <f t="shared" ref="E69" si="8">IF(F69="","※","")</f>
        <v>※</v>
      </c>
      <c r="F69" s="571"/>
      <c r="G69" s="210"/>
      <c r="H69" s="550"/>
    </row>
    <row r="70" spans="1:8" s="1534" customFormat="1">
      <c r="A70" s="3"/>
      <c r="B70" s="219"/>
      <c r="C70" s="210"/>
      <c r="D70" s="922"/>
      <c r="E70" s="130"/>
      <c r="F70" s="927"/>
      <c r="G70" s="210"/>
      <c r="H70" s="550"/>
    </row>
    <row r="71" spans="1:8">
      <c r="G71" s="532"/>
      <c r="H71" s="550"/>
    </row>
    <row r="72" spans="1:8">
      <c r="C72" s="403" t="s">
        <v>579</v>
      </c>
      <c r="D72" s="64"/>
      <c r="E72" s="416"/>
      <c r="F72" s="253"/>
      <c r="G72" s="154"/>
      <c r="H72" s="619"/>
    </row>
    <row r="73" spans="1:8">
      <c r="C73" s="407" t="s">
        <v>580</v>
      </c>
      <c r="E73" s="154"/>
      <c r="F73" s="72"/>
      <c r="G73" s="3"/>
      <c r="H73" s="550"/>
    </row>
    <row r="74" spans="1:8">
      <c r="C74" s="407" t="s">
        <v>581</v>
      </c>
      <c r="D74" s="83"/>
      <c r="E74" s="167"/>
      <c r="F74" s="400"/>
      <c r="G74" s="3"/>
      <c r="H74" s="550"/>
    </row>
    <row r="75" spans="1:8">
      <c r="C75" s="407" t="s">
        <v>582</v>
      </c>
      <c r="D75" s="168"/>
      <c r="E75"/>
      <c r="F75" s="401"/>
      <c r="G75" s="42"/>
      <c r="H75" s="550"/>
    </row>
    <row r="76" spans="1:8">
      <c r="C76" s="413" t="s">
        <v>583</v>
      </c>
      <c r="D76" s="402"/>
      <c r="E76" s="402"/>
      <c r="F76" s="331"/>
      <c r="G76" s="42"/>
      <c r="H76" s="550"/>
    </row>
    <row r="77" spans="1:8">
      <c r="G77" s="42"/>
    </row>
    <row r="79" spans="1:8">
      <c r="G79" s="4"/>
    </row>
    <row r="81" spans="1:8">
      <c r="D81" s="42"/>
    </row>
    <row r="82" spans="1:8" s="4" customFormat="1" hidden="1">
      <c r="A82" s="837"/>
      <c r="B82" s="837"/>
      <c r="C82" s="887" t="s">
        <v>1169</v>
      </c>
      <c r="D82" s="837"/>
      <c r="E82" s="130"/>
      <c r="F82"/>
      <c r="G82"/>
      <c r="H82" s="19"/>
    </row>
    <row r="83" spans="1:8" hidden="1">
      <c r="A83" s="837"/>
      <c r="B83" s="837"/>
      <c r="C83" s="888" t="s">
        <v>1163</v>
      </c>
      <c r="D83" s="888"/>
      <c r="E83" s="889"/>
      <c r="F83" s="890"/>
    </row>
    <row r="84" spans="1:8" hidden="1">
      <c r="A84" s="837"/>
      <c r="B84" s="837"/>
      <c r="C84" s="891" t="s">
        <v>1170</v>
      </c>
      <c r="D84" s="892"/>
      <c r="E84" s="893"/>
      <c r="F84" s="894"/>
    </row>
    <row r="85" spans="1:8" hidden="1">
      <c r="A85" s="837"/>
      <c r="B85" s="837"/>
      <c r="C85" s="892" t="s">
        <v>1162</v>
      </c>
      <c r="D85" s="892"/>
      <c r="E85" s="893"/>
      <c r="F85" s="894"/>
    </row>
    <row r="120" spans="8:15">
      <c r="O120" s="1545" t="e">
        <f>VLOOKUP(F31,$N$123:$O$169,2,0)</f>
        <v>#N/A</v>
      </c>
    </row>
    <row r="121" spans="8:15">
      <c r="H121" s="1543" t="s">
        <v>1981</v>
      </c>
      <c r="I121" s="1544" t="s">
        <v>1982</v>
      </c>
      <c r="J121" s="1544" t="s">
        <v>1983</v>
      </c>
      <c r="K121" s="1544"/>
      <c r="L121" s="1544"/>
      <c r="M121" s="1544"/>
      <c r="N121" s="1544" t="s">
        <v>1984</v>
      </c>
      <c r="O121" s="1544" t="s">
        <v>1985</v>
      </c>
    </row>
    <row r="122" spans="8:15">
      <c r="H122" s="1543" t="s">
        <v>1986</v>
      </c>
      <c r="I122" s="1544" t="s">
        <v>482</v>
      </c>
      <c r="J122" s="1544"/>
      <c r="K122" s="1544">
        <f>ROW()</f>
        <v>122</v>
      </c>
      <c r="L122" s="1544">
        <f>K122+COUNTIF($I$122:$I$1909,I122)-1</f>
        <v>301</v>
      </c>
      <c r="M122" s="1544"/>
      <c r="N122" s="1544"/>
      <c r="O122" s="1544"/>
    </row>
    <row r="123" spans="8:15">
      <c r="H123" s="1543" t="s">
        <v>1229</v>
      </c>
      <c r="I123" s="1544" t="s">
        <v>482</v>
      </c>
      <c r="J123" s="1544" t="s">
        <v>1228</v>
      </c>
      <c r="K123" s="1544"/>
      <c r="L123" s="1544"/>
      <c r="M123" s="1544" t="s">
        <v>1987</v>
      </c>
      <c r="N123" s="1544" t="s">
        <v>1988</v>
      </c>
      <c r="O123" s="1544" t="str">
        <f>"J"&amp;VLOOKUP(M123,$I$122:$L$1909,3,0)&amp;":"&amp;"J"&amp;VLOOKUP(M123,$I$122:$L$1909,4,0)</f>
        <v>J122:J301</v>
      </c>
    </row>
    <row r="124" spans="8:15">
      <c r="H124" s="1543" t="s">
        <v>1269</v>
      </c>
      <c r="I124" s="1544" t="s">
        <v>482</v>
      </c>
      <c r="J124" s="1544" t="s">
        <v>1268</v>
      </c>
      <c r="K124" s="1544"/>
      <c r="L124" s="1544"/>
      <c r="M124" s="1544" t="s">
        <v>483</v>
      </c>
      <c r="N124" s="1544" t="s">
        <v>1989</v>
      </c>
      <c r="O124" s="1544" t="str">
        <f t="shared" ref="O124:O169" si="9">"J"&amp;VLOOKUP(M124,$I$122:$L$1909,3,0)&amp;":"&amp;"J"&amp;VLOOKUP(M124,$I$122:$L$1909,4,0)</f>
        <v>J302:J342</v>
      </c>
    </row>
    <row r="125" spans="8:15">
      <c r="H125" s="1543" t="s">
        <v>1990</v>
      </c>
      <c r="I125" s="1544" t="s">
        <v>482</v>
      </c>
      <c r="J125" s="1544" t="s">
        <v>1991</v>
      </c>
      <c r="K125" s="1544"/>
      <c r="L125" s="1544"/>
      <c r="M125" s="1544" t="s">
        <v>484</v>
      </c>
      <c r="N125" s="1544" t="s">
        <v>1992</v>
      </c>
      <c r="O125" s="1544" t="str">
        <f t="shared" si="9"/>
        <v>J343:J376</v>
      </c>
    </row>
    <row r="126" spans="8:15">
      <c r="H126" s="1543" t="s">
        <v>1271</v>
      </c>
      <c r="I126" s="1544" t="s">
        <v>482</v>
      </c>
      <c r="J126" s="1544" t="s">
        <v>1270</v>
      </c>
      <c r="K126" s="1544"/>
      <c r="L126" s="1544"/>
      <c r="M126" s="1544" t="s">
        <v>1993</v>
      </c>
      <c r="N126" s="1544" t="s">
        <v>1994</v>
      </c>
      <c r="O126" s="1544" t="str">
        <f t="shared" si="9"/>
        <v>J377:J412</v>
      </c>
    </row>
    <row r="127" spans="8:15">
      <c r="H127" s="1543" t="s">
        <v>1995</v>
      </c>
      <c r="I127" s="1544" t="s">
        <v>482</v>
      </c>
      <c r="J127" s="1544" t="s">
        <v>1996</v>
      </c>
      <c r="K127" s="1544"/>
      <c r="L127" s="1544"/>
      <c r="M127" s="1544" t="s">
        <v>485</v>
      </c>
      <c r="N127" s="1544" t="s">
        <v>1997</v>
      </c>
      <c r="O127" s="1544" t="str">
        <f t="shared" si="9"/>
        <v>J413:J438</v>
      </c>
    </row>
    <row r="128" spans="8:15">
      <c r="H128" s="1543" t="s">
        <v>1998</v>
      </c>
      <c r="I128" s="1544" t="s">
        <v>482</v>
      </c>
      <c r="J128" s="1544" t="s">
        <v>1999</v>
      </c>
      <c r="K128" s="1544"/>
      <c r="L128" s="1544"/>
      <c r="M128" s="1544" t="s">
        <v>514</v>
      </c>
      <c r="N128" s="1544" t="s">
        <v>2000</v>
      </c>
      <c r="O128" s="1544" t="str">
        <f t="shared" si="9"/>
        <v>J439:J474</v>
      </c>
    </row>
    <row r="129" spans="8:15">
      <c r="H129" s="1543" t="s">
        <v>2001</v>
      </c>
      <c r="I129" s="1544" t="s">
        <v>482</v>
      </c>
      <c r="J129" s="1544" t="s">
        <v>2002</v>
      </c>
      <c r="K129" s="1544"/>
      <c r="L129" s="1544"/>
      <c r="M129" s="1544" t="s">
        <v>486</v>
      </c>
      <c r="N129" s="1544" t="s">
        <v>2003</v>
      </c>
      <c r="O129" s="1544" t="str">
        <f t="shared" si="9"/>
        <v>J475:J534</v>
      </c>
    </row>
    <row r="130" spans="8:15">
      <c r="H130" s="1543" t="s">
        <v>2004</v>
      </c>
      <c r="I130" s="1544" t="s">
        <v>482</v>
      </c>
      <c r="J130" s="1544" t="s">
        <v>2005</v>
      </c>
      <c r="K130" s="1544"/>
      <c r="L130" s="1544"/>
      <c r="M130" s="1544" t="s">
        <v>515</v>
      </c>
      <c r="N130" s="1544" t="s">
        <v>2006</v>
      </c>
      <c r="O130" s="1544" t="str">
        <f t="shared" si="9"/>
        <v>J535:J579</v>
      </c>
    </row>
    <row r="131" spans="8:15">
      <c r="H131" s="1543" t="s">
        <v>2007</v>
      </c>
      <c r="I131" s="1544" t="s">
        <v>482</v>
      </c>
      <c r="J131" s="1544" t="s">
        <v>2008</v>
      </c>
      <c r="K131" s="1544"/>
      <c r="L131" s="1544"/>
      <c r="M131" s="1544" t="s">
        <v>487</v>
      </c>
      <c r="N131" s="1544" t="s">
        <v>2009</v>
      </c>
      <c r="O131" s="1544" t="str">
        <f t="shared" si="9"/>
        <v>J580:J605</v>
      </c>
    </row>
    <row r="132" spans="8:15">
      <c r="H132" s="1543" t="s">
        <v>2010</v>
      </c>
      <c r="I132" s="1544" t="s">
        <v>482</v>
      </c>
      <c r="J132" s="1544" t="s">
        <v>2011</v>
      </c>
      <c r="K132" s="1544"/>
      <c r="L132" s="1544"/>
      <c r="M132" s="1544" t="s">
        <v>488</v>
      </c>
      <c r="N132" s="1544" t="s">
        <v>2012</v>
      </c>
      <c r="O132" s="1544" t="str">
        <f t="shared" si="9"/>
        <v>J606:J641</v>
      </c>
    </row>
    <row r="133" spans="8:15">
      <c r="H133" s="1543" t="s">
        <v>2013</v>
      </c>
      <c r="I133" s="1544" t="s">
        <v>482</v>
      </c>
      <c r="J133" s="1544" t="s">
        <v>2014</v>
      </c>
      <c r="K133" s="1544"/>
      <c r="L133" s="1544"/>
      <c r="M133" s="1544" t="s">
        <v>489</v>
      </c>
      <c r="N133" s="1544" t="s">
        <v>2015</v>
      </c>
      <c r="O133" s="1544" t="str">
        <f t="shared" si="9"/>
        <v>J642:J705</v>
      </c>
    </row>
    <row r="134" spans="8:15">
      <c r="H134" s="1543" t="s">
        <v>2016</v>
      </c>
      <c r="I134" s="1544" t="s">
        <v>482</v>
      </c>
      <c r="J134" s="1544" t="s">
        <v>2017</v>
      </c>
      <c r="K134" s="1544"/>
      <c r="L134" s="1544"/>
      <c r="M134" s="1544" t="s">
        <v>490</v>
      </c>
      <c r="N134" s="1544" t="s">
        <v>2018</v>
      </c>
      <c r="O134" s="1544" t="str">
        <f t="shared" si="9"/>
        <v>J706:J760</v>
      </c>
    </row>
    <row r="135" spans="8:15">
      <c r="H135" s="1543" t="s">
        <v>2019</v>
      </c>
      <c r="I135" s="1544" t="s">
        <v>482</v>
      </c>
      <c r="J135" s="1544" t="s">
        <v>2020</v>
      </c>
      <c r="K135" s="1544"/>
      <c r="L135" s="1544"/>
      <c r="M135" s="1544" t="s">
        <v>2021</v>
      </c>
      <c r="N135" s="1544" t="s">
        <v>2022</v>
      </c>
      <c r="O135" s="1544" t="str">
        <f t="shared" si="9"/>
        <v>J761:J823</v>
      </c>
    </row>
    <row r="136" spans="8:15">
      <c r="H136" s="1543" t="s">
        <v>2023</v>
      </c>
      <c r="I136" s="1544" t="s">
        <v>482</v>
      </c>
      <c r="J136" s="1544" t="s">
        <v>2024</v>
      </c>
      <c r="K136" s="1544"/>
      <c r="L136" s="1544"/>
      <c r="M136" s="1544" t="s">
        <v>491</v>
      </c>
      <c r="N136" s="1544" t="s">
        <v>2025</v>
      </c>
      <c r="O136" s="1544" t="str">
        <f t="shared" si="9"/>
        <v>J824:J857</v>
      </c>
    </row>
    <row r="137" spans="8:15">
      <c r="H137" s="1543" t="s">
        <v>2026</v>
      </c>
      <c r="I137" s="1544" t="s">
        <v>482</v>
      </c>
      <c r="J137" s="1544" t="s">
        <v>2027</v>
      </c>
      <c r="K137" s="1544"/>
      <c r="L137" s="1544"/>
      <c r="M137" s="1544" t="s">
        <v>516</v>
      </c>
      <c r="N137" s="1544" t="s">
        <v>2028</v>
      </c>
      <c r="O137" s="1544" t="str">
        <f t="shared" si="9"/>
        <v>J858:J888</v>
      </c>
    </row>
    <row r="138" spans="8:15">
      <c r="H138" s="1543" t="s">
        <v>2029</v>
      </c>
      <c r="I138" s="1544" t="s">
        <v>482</v>
      </c>
      <c r="J138" s="1544" t="s">
        <v>2030</v>
      </c>
      <c r="K138" s="1544"/>
      <c r="L138" s="1544"/>
      <c r="M138" s="1544" t="s">
        <v>492</v>
      </c>
      <c r="N138" s="1544" t="s">
        <v>2031</v>
      </c>
      <c r="O138" s="1544" t="str">
        <f t="shared" si="9"/>
        <v>J889:J904</v>
      </c>
    </row>
    <row r="139" spans="8:15">
      <c r="H139" s="1543" t="s">
        <v>2032</v>
      </c>
      <c r="I139" s="1544" t="s">
        <v>482</v>
      </c>
      <c r="J139" s="1544" t="s">
        <v>2033</v>
      </c>
      <c r="K139" s="1544"/>
      <c r="L139" s="1544"/>
      <c r="M139" s="1544" t="s">
        <v>493</v>
      </c>
      <c r="N139" s="1544" t="s">
        <v>2034</v>
      </c>
      <c r="O139" s="1544" t="str">
        <f t="shared" si="9"/>
        <v>J905:J924</v>
      </c>
    </row>
    <row r="140" spans="8:15">
      <c r="H140" s="1543" t="s">
        <v>2035</v>
      </c>
      <c r="I140" s="1544" t="s">
        <v>482</v>
      </c>
      <c r="J140" s="1544" t="s">
        <v>2036</v>
      </c>
      <c r="K140" s="1544"/>
      <c r="L140" s="1544"/>
      <c r="M140" s="1544" t="s">
        <v>517</v>
      </c>
      <c r="N140" s="1544" t="s">
        <v>2037</v>
      </c>
      <c r="O140" s="1544" t="str">
        <f t="shared" si="9"/>
        <v>J925:J942</v>
      </c>
    </row>
    <row r="141" spans="8:15">
      <c r="H141" s="1543" t="s">
        <v>2038</v>
      </c>
      <c r="I141" s="1544" t="s">
        <v>482</v>
      </c>
      <c r="J141" s="1544" t="s">
        <v>2039</v>
      </c>
      <c r="K141" s="1544"/>
      <c r="L141" s="1544"/>
      <c r="M141" s="1544" t="s">
        <v>518</v>
      </c>
      <c r="N141" s="1544" t="s">
        <v>2040</v>
      </c>
      <c r="O141" s="1544" t="str">
        <f t="shared" si="9"/>
        <v>J943:J970</v>
      </c>
    </row>
    <row r="142" spans="8:15">
      <c r="H142" s="1543" t="s">
        <v>2041</v>
      </c>
      <c r="I142" s="1544" t="s">
        <v>482</v>
      </c>
      <c r="J142" s="1544" t="s">
        <v>2042</v>
      </c>
      <c r="K142" s="1544"/>
      <c r="L142" s="1544"/>
      <c r="M142" s="1544" t="s">
        <v>494</v>
      </c>
      <c r="N142" s="1544" t="s">
        <v>2043</v>
      </c>
      <c r="O142" s="1544" t="str">
        <f t="shared" si="9"/>
        <v>J971:J1048</v>
      </c>
    </row>
    <row r="143" spans="8:15">
      <c r="H143" s="1543" t="s">
        <v>2044</v>
      </c>
      <c r="I143" s="1544" t="s">
        <v>482</v>
      </c>
      <c r="J143" s="1544" t="s">
        <v>2045</v>
      </c>
      <c r="K143" s="1544"/>
      <c r="L143" s="1544"/>
      <c r="M143" s="1544" t="s">
        <v>495</v>
      </c>
      <c r="N143" s="1544" t="s">
        <v>2046</v>
      </c>
      <c r="O143" s="1544" t="str">
        <f t="shared" si="9"/>
        <v>J1049:J1091</v>
      </c>
    </row>
    <row r="144" spans="8:15">
      <c r="H144" s="1543" t="s">
        <v>2047</v>
      </c>
      <c r="I144" s="1544" t="s">
        <v>482</v>
      </c>
      <c r="J144" s="1544" t="s">
        <v>2048</v>
      </c>
      <c r="K144" s="1544"/>
      <c r="L144" s="1544"/>
      <c r="M144" s="1544" t="s">
        <v>608</v>
      </c>
      <c r="N144" s="1544" t="s">
        <v>2049</v>
      </c>
      <c r="O144" s="1544" t="str">
        <f t="shared" si="9"/>
        <v>J1092:J1127</v>
      </c>
    </row>
    <row r="145" spans="8:15">
      <c r="H145" s="1543" t="s">
        <v>2050</v>
      </c>
      <c r="I145" s="1544" t="s">
        <v>482</v>
      </c>
      <c r="J145" s="1544" t="s">
        <v>2051</v>
      </c>
      <c r="K145" s="1544"/>
      <c r="L145" s="1544"/>
      <c r="M145" s="1544" t="s">
        <v>496</v>
      </c>
      <c r="N145" s="1544" t="s">
        <v>2052</v>
      </c>
      <c r="O145" s="1544" t="str">
        <f t="shared" si="9"/>
        <v>J1128:J1182</v>
      </c>
    </row>
    <row r="146" spans="8:15">
      <c r="H146" s="1543" t="s">
        <v>2053</v>
      </c>
      <c r="I146" s="1544" t="s">
        <v>482</v>
      </c>
      <c r="J146" s="1544" t="s">
        <v>2054</v>
      </c>
      <c r="K146" s="1544"/>
      <c r="L146" s="1544"/>
      <c r="M146" s="1544" t="s">
        <v>609</v>
      </c>
      <c r="N146" s="1544" t="s">
        <v>2055</v>
      </c>
      <c r="O146" s="1544" t="str">
        <f t="shared" si="9"/>
        <v>J1183:J1212</v>
      </c>
    </row>
    <row r="147" spans="8:15">
      <c r="H147" s="1543" t="s">
        <v>2056</v>
      </c>
      <c r="I147" s="1544" t="s">
        <v>482</v>
      </c>
      <c r="J147" s="1544" t="s">
        <v>2057</v>
      </c>
      <c r="K147" s="1544"/>
      <c r="L147" s="1544"/>
      <c r="M147" s="1544" t="s">
        <v>497</v>
      </c>
      <c r="N147" s="1544" t="s">
        <v>2058</v>
      </c>
      <c r="O147" s="1544" t="str">
        <f t="shared" si="9"/>
        <v>J1213:J1232</v>
      </c>
    </row>
    <row r="148" spans="8:15">
      <c r="H148" s="1543" t="s">
        <v>2059</v>
      </c>
      <c r="I148" s="1544" t="s">
        <v>482</v>
      </c>
      <c r="J148" s="1544" t="s">
        <v>2060</v>
      </c>
      <c r="K148" s="1544"/>
      <c r="L148" s="1544"/>
      <c r="M148" s="1544" t="s">
        <v>2061</v>
      </c>
      <c r="N148" s="1544" t="s">
        <v>2062</v>
      </c>
      <c r="O148" s="1544" t="str">
        <f t="shared" si="9"/>
        <v>J1233:J1259</v>
      </c>
    </row>
    <row r="149" spans="8:15">
      <c r="H149" s="1543" t="s">
        <v>2063</v>
      </c>
      <c r="I149" s="1544" t="s">
        <v>482</v>
      </c>
      <c r="J149" s="1544" t="s">
        <v>2064</v>
      </c>
      <c r="K149" s="1544"/>
      <c r="L149" s="1544"/>
      <c r="M149" s="1544" t="s">
        <v>498</v>
      </c>
      <c r="N149" s="1544" t="s">
        <v>2065</v>
      </c>
      <c r="O149" s="1544" t="str">
        <f t="shared" si="9"/>
        <v>J1260:J1303</v>
      </c>
    </row>
    <row r="150" spans="8:15">
      <c r="H150" s="1543" t="s">
        <v>2066</v>
      </c>
      <c r="I150" s="1544" t="s">
        <v>482</v>
      </c>
      <c r="J150" s="1544" t="s">
        <v>2067</v>
      </c>
      <c r="K150" s="1544"/>
      <c r="L150" s="1544"/>
      <c r="M150" s="1544" t="s">
        <v>499</v>
      </c>
      <c r="N150" s="1544" t="s">
        <v>2068</v>
      </c>
      <c r="O150" s="1544" t="str">
        <f t="shared" si="9"/>
        <v>J1304:J1345</v>
      </c>
    </row>
    <row r="151" spans="8:15">
      <c r="H151" s="1543" t="s">
        <v>2069</v>
      </c>
      <c r="I151" s="1544" t="s">
        <v>482</v>
      </c>
      <c r="J151" s="1544" t="s">
        <v>2070</v>
      </c>
      <c r="K151" s="1544"/>
      <c r="L151" s="1544"/>
      <c r="M151" s="1544" t="s">
        <v>500</v>
      </c>
      <c r="N151" s="1544" t="s">
        <v>2071</v>
      </c>
      <c r="O151" s="1544" t="str">
        <f t="shared" si="9"/>
        <v>J1346:J1385</v>
      </c>
    </row>
    <row r="152" spans="8:15">
      <c r="H152" s="1543" t="s">
        <v>2072</v>
      </c>
      <c r="I152" s="1544" t="s">
        <v>482</v>
      </c>
      <c r="J152" s="1544" t="s">
        <v>2073</v>
      </c>
      <c r="K152" s="1544"/>
      <c r="L152" s="1544"/>
      <c r="M152" s="1544" t="s">
        <v>501</v>
      </c>
      <c r="N152" s="1544" t="s">
        <v>2074</v>
      </c>
      <c r="O152" s="1544" t="str">
        <f t="shared" si="9"/>
        <v>J1386:J1416</v>
      </c>
    </row>
    <row r="153" spans="8:15">
      <c r="H153" s="1543" t="s">
        <v>2075</v>
      </c>
      <c r="I153" s="1544" t="s">
        <v>482</v>
      </c>
      <c r="J153" s="1544" t="s">
        <v>2076</v>
      </c>
      <c r="K153" s="1544"/>
      <c r="L153" s="1544"/>
      <c r="M153" s="1544" t="s">
        <v>610</v>
      </c>
      <c r="N153" s="1544" t="s">
        <v>2077</v>
      </c>
      <c r="O153" s="1544" t="str">
        <f t="shared" si="9"/>
        <v>J1417:J1436</v>
      </c>
    </row>
    <row r="154" spans="8:15">
      <c r="H154" s="1543" t="s">
        <v>2078</v>
      </c>
      <c r="I154" s="1544" t="s">
        <v>482</v>
      </c>
      <c r="J154" s="1544" t="s">
        <v>2079</v>
      </c>
      <c r="K154" s="1544"/>
      <c r="L154" s="1544"/>
      <c r="M154" s="1544" t="s">
        <v>2080</v>
      </c>
      <c r="N154" s="1544" t="s">
        <v>2081</v>
      </c>
      <c r="O154" s="1544" t="str">
        <f t="shared" si="9"/>
        <v>J1437:J1456</v>
      </c>
    </row>
    <row r="155" spans="8:15">
      <c r="H155" s="1543" t="s">
        <v>2082</v>
      </c>
      <c r="I155" s="1544" t="s">
        <v>482</v>
      </c>
      <c r="J155" s="1544" t="s">
        <v>2083</v>
      </c>
      <c r="K155" s="1544"/>
      <c r="L155" s="1544"/>
      <c r="M155" s="1544" t="s">
        <v>502</v>
      </c>
      <c r="N155" s="1544" t="s">
        <v>2084</v>
      </c>
      <c r="O155" s="1544" t="str">
        <f t="shared" si="9"/>
        <v>J1457:J1484</v>
      </c>
    </row>
    <row r="156" spans="8:15">
      <c r="H156" s="1543" t="s">
        <v>2085</v>
      </c>
      <c r="I156" s="1544" t="s">
        <v>482</v>
      </c>
      <c r="J156" s="1544" t="s">
        <v>2086</v>
      </c>
      <c r="K156" s="1544"/>
      <c r="L156" s="1544"/>
      <c r="M156" s="1544" t="s">
        <v>503</v>
      </c>
      <c r="N156" s="1544" t="s">
        <v>2087</v>
      </c>
      <c r="O156" s="1544" t="str">
        <f t="shared" si="9"/>
        <v>J1485:J1508</v>
      </c>
    </row>
    <row r="157" spans="8:15">
      <c r="H157" s="1543" t="s">
        <v>2088</v>
      </c>
      <c r="I157" s="1544" t="s">
        <v>482</v>
      </c>
      <c r="J157" s="1544" t="s">
        <v>2089</v>
      </c>
      <c r="K157" s="1544"/>
      <c r="L157" s="1544"/>
      <c r="M157" s="1544" t="s">
        <v>504</v>
      </c>
      <c r="N157" s="1544" t="s">
        <v>2090</v>
      </c>
      <c r="O157" s="1544" t="str">
        <f t="shared" si="9"/>
        <v>J1509:J1528</v>
      </c>
    </row>
    <row r="158" spans="8:15">
      <c r="H158" s="1543" t="s">
        <v>2091</v>
      </c>
      <c r="I158" s="1544" t="s">
        <v>482</v>
      </c>
      <c r="J158" s="1544" t="s">
        <v>2092</v>
      </c>
      <c r="K158" s="1544"/>
      <c r="L158" s="1544"/>
      <c r="M158" s="1544" t="s">
        <v>2093</v>
      </c>
      <c r="N158" s="1544" t="s">
        <v>2094</v>
      </c>
      <c r="O158" s="1544" t="str">
        <f t="shared" si="9"/>
        <v>J1529:J1553</v>
      </c>
    </row>
    <row r="159" spans="8:15">
      <c r="H159" s="1543" t="s">
        <v>2095</v>
      </c>
      <c r="I159" s="1544" t="s">
        <v>482</v>
      </c>
      <c r="J159" s="1544" t="s">
        <v>2096</v>
      </c>
      <c r="K159" s="1544"/>
      <c r="L159" s="1544"/>
      <c r="M159" s="1544" t="s">
        <v>505</v>
      </c>
      <c r="N159" s="1544" t="s">
        <v>2097</v>
      </c>
      <c r="O159" s="1544" t="str">
        <f t="shared" si="9"/>
        <v>J1554:J1571</v>
      </c>
    </row>
    <row r="160" spans="8:15">
      <c r="H160" s="1543" t="s">
        <v>2098</v>
      </c>
      <c r="I160" s="1544" t="s">
        <v>482</v>
      </c>
      <c r="J160" s="1544" t="s">
        <v>2099</v>
      </c>
      <c r="K160" s="1544"/>
      <c r="L160" s="1544"/>
      <c r="M160" s="1544" t="s">
        <v>506</v>
      </c>
      <c r="N160" s="1544" t="s">
        <v>2100</v>
      </c>
      <c r="O160" s="1544" t="str">
        <f t="shared" si="9"/>
        <v>J1572:J1592</v>
      </c>
    </row>
    <row r="161" spans="8:15">
      <c r="H161" s="1543" t="s">
        <v>2101</v>
      </c>
      <c r="I161" s="1544" t="s">
        <v>482</v>
      </c>
      <c r="J161" s="1544" t="s">
        <v>2102</v>
      </c>
      <c r="K161" s="1544"/>
      <c r="L161" s="1544"/>
      <c r="M161" s="1544" t="s">
        <v>507</v>
      </c>
      <c r="N161" s="1544" t="s">
        <v>2103</v>
      </c>
      <c r="O161" s="1544" t="str">
        <f t="shared" si="9"/>
        <v>J1593:J1627</v>
      </c>
    </row>
    <row r="162" spans="8:15">
      <c r="H162" s="1543" t="s">
        <v>2104</v>
      </c>
      <c r="I162" s="1544" t="s">
        <v>482</v>
      </c>
      <c r="J162" s="1544" t="s">
        <v>2105</v>
      </c>
      <c r="K162" s="1544"/>
      <c r="L162" s="1544"/>
      <c r="M162" s="1544" t="s">
        <v>508</v>
      </c>
      <c r="N162" s="1544" t="s">
        <v>2106</v>
      </c>
      <c r="O162" s="1544" t="str">
        <f t="shared" si="9"/>
        <v>J1628:J1688</v>
      </c>
    </row>
    <row r="163" spans="8:15">
      <c r="H163" s="1543" t="s">
        <v>2107</v>
      </c>
      <c r="I163" s="1544" t="s">
        <v>482</v>
      </c>
      <c r="J163" s="1544" t="s">
        <v>2108</v>
      </c>
      <c r="K163" s="1544"/>
      <c r="L163" s="1544"/>
      <c r="M163" s="1544" t="s">
        <v>2109</v>
      </c>
      <c r="N163" s="1544" t="s">
        <v>2110</v>
      </c>
      <c r="O163" s="1544" t="str">
        <f t="shared" si="9"/>
        <v>J1689:J1709</v>
      </c>
    </row>
    <row r="164" spans="8:15">
      <c r="H164" s="1543" t="s">
        <v>2111</v>
      </c>
      <c r="I164" s="1544" t="s">
        <v>482</v>
      </c>
      <c r="J164" s="1544" t="s">
        <v>2112</v>
      </c>
      <c r="K164" s="1544"/>
      <c r="L164" s="1544"/>
      <c r="M164" s="1544" t="s">
        <v>509</v>
      </c>
      <c r="N164" s="1544" t="s">
        <v>2113</v>
      </c>
      <c r="O164" s="1544" t="str">
        <f t="shared" si="9"/>
        <v>J1710:J1731</v>
      </c>
    </row>
    <row r="165" spans="8:15">
      <c r="H165" s="1543" t="s">
        <v>2114</v>
      </c>
      <c r="I165" s="1544" t="s">
        <v>482</v>
      </c>
      <c r="J165" s="1544" t="s">
        <v>2115</v>
      </c>
      <c r="K165" s="1544"/>
      <c r="L165" s="1544"/>
      <c r="M165" s="1544" t="s">
        <v>510</v>
      </c>
      <c r="N165" s="1544" t="s">
        <v>2116</v>
      </c>
      <c r="O165" s="1544" t="str">
        <f t="shared" si="9"/>
        <v>J1732:J1777</v>
      </c>
    </row>
    <row r="166" spans="8:15">
      <c r="H166" s="1543" t="s">
        <v>2117</v>
      </c>
      <c r="I166" s="1544" t="s">
        <v>482</v>
      </c>
      <c r="J166" s="1544" t="s">
        <v>2118</v>
      </c>
      <c r="K166" s="1544"/>
      <c r="L166" s="1544"/>
      <c r="M166" s="1544" t="s">
        <v>511</v>
      </c>
      <c r="N166" s="1544" t="s">
        <v>2119</v>
      </c>
      <c r="O166" s="1544" t="str">
        <f t="shared" si="9"/>
        <v>J1778:J1796</v>
      </c>
    </row>
    <row r="167" spans="8:15">
      <c r="H167" s="1543" t="s">
        <v>2120</v>
      </c>
      <c r="I167" s="1544" t="s">
        <v>482</v>
      </c>
      <c r="J167" s="1544" t="s">
        <v>2121</v>
      </c>
      <c r="K167" s="1544"/>
      <c r="L167" s="1544"/>
      <c r="M167" s="1544" t="s">
        <v>512</v>
      </c>
      <c r="N167" s="1544" t="s">
        <v>2122</v>
      </c>
      <c r="O167" s="1544" t="str">
        <f t="shared" si="9"/>
        <v>J1797:J1823</v>
      </c>
    </row>
    <row r="168" spans="8:15">
      <c r="H168" s="1543" t="s">
        <v>2123</v>
      </c>
      <c r="I168" s="1544" t="s">
        <v>482</v>
      </c>
      <c r="J168" s="1544" t="s">
        <v>2124</v>
      </c>
      <c r="K168" s="1544"/>
      <c r="L168" s="1544"/>
      <c r="M168" s="1544" t="s">
        <v>513</v>
      </c>
      <c r="N168" s="1544" t="s">
        <v>2125</v>
      </c>
      <c r="O168" s="1544" t="str">
        <f t="shared" si="9"/>
        <v>J1824:J1867</v>
      </c>
    </row>
    <row r="169" spans="8:15">
      <c r="H169" s="1543" t="s">
        <v>2126</v>
      </c>
      <c r="I169" s="1544" t="s">
        <v>482</v>
      </c>
      <c r="J169" s="1544" t="s">
        <v>2127</v>
      </c>
      <c r="K169" s="1544"/>
      <c r="L169" s="1544"/>
      <c r="M169" s="1544" t="s">
        <v>2128</v>
      </c>
      <c r="N169" s="1544" t="s">
        <v>2129</v>
      </c>
      <c r="O169" s="1544" t="str">
        <f t="shared" si="9"/>
        <v>J1868:J1909</v>
      </c>
    </row>
    <row r="170" spans="8:15">
      <c r="H170" s="1543" t="s">
        <v>2130</v>
      </c>
      <c r="I170" s="1544" t="s">
        <v>482</v>
      </c>
      <c r="J170" s="1544" t="s">
        <v>2131</v>
      </c>
      <c r="K170" s="1544"/>
      <c r="L170" s="1544"/>
      <c r="M170" s="1544"/>
      <c r="N170" s="1544"/>
      <c r="O170" s="1544"/>
    </row>
    <row r="171" spans="8:15">
      <c r="H171" s="1543" t="s">
        <v>2132</v>
      </c>
      <c r="I171" s="1544" t="s">
        <v>482</v>
      </c>
      <c r="J171" s="1544" t="s">
        <v>2133</v>
      </c>
      <c r="K171" s="1544"/>
      <c r="L171" s="1544"/>
      <c r="M171" s="1544"/>
      <c r="N171" s="1544"/>
      <c r="O171" s="1544"/>
    </row>
    <row r="172" spans="8:15">
      <c r="H172" s="1543" t="s">
        <v>2134</v>
      </c>
      <c r="I172" s="1544" t="s">
        <v>482</v>
      </c>
      <c r="J172" s="1544" t="s">
        <v>2135</v>
      </c>
      <c r="K172" s="1544"/>
      <c r="L172" s="1544"/>
      <c r="M172" s="1544"/>
      <c r="N172" s="1544"/>
      <c r="O172" s="1544"/>
    </row>
    <row r="173" spans="8:15">
      <c r="H173" s="1543" t="s">
        <v>2136</v>
      </c>
      <c r="I173" s="1544" t="s">
        <v>482</v>
      </c>
      <c r="J173" s="1544" t="s">
        <v>2137</v>
      </c>
      <c r="K173" s="1544"/>
      <c r="L173" s="1544"/>
      <c r="M173" s="1544"/>
      <c r="N173" s="1544"/>
      <c r="O173" s="1544"/>
    </row>
    <row r="174" spans="8:15">
      <c r="H174" s="1543" t="s">
        <v>2138</v>
      </c>
      <c r="I174" s="1544" t="s">
        <v>482</v>
      </c>
      <c r="J174" s="1544" t="s">
        <v>2139</v>
      </c>
      <c r="K174" s="1544"/>
      <c r="L174" s="1544"/>
      <c r="M174" s="1544"/>
      <c r="N174" s="1544"/>
      <c r="O174" s="1544"/>
    </row>
    <row r="175" spans="8:15">
      <c r="H175" s="1543" t="s">
        <v>2140</v>
      </c>
      <c r="I175" s="1544" t="s">
        <v>482</v>
      </c>
      <c r="J175" s="1544" t="s">
        <v>2141</v>
      </c>
      <c r="K175" s="1544"/>
      <c r="L175" s="1544"/>
      <c r="M175" s="1544"/>
      <c r="N175" s="1544"/>
      <c r="O175" s="1544"/>
    </row>
    <row r="176" spans="8:15">
      <c r="H176" s="1543" t="s">
        <v>2142</v>
      </c>
      <c r="I176" s="1544" t="s">
        <v>482</v>
      </c>
      <c r="J176" s="1544" t="s">
        <v>2143</v>
      </c>
      <c r="K176" s="1544"/>
      <c r="L176" s="1544"/>
      <c r="M176" s="1544"/>
      <c r="N176" s="1544"/>
      <c r="O176" s="1544"/>
    </row>
    <row r="177" spans="8:15">
      <c r="H177" s="1543" t="s">
        <v>2144</v>
      </c>
      <c r="I177" s="1544" t="s">
        <v>482</v>
      </c>
      <c r="J177" s="1544" t="s">
        <v>2145</v>
      </c>
      <c r="K177" s="1544"/>
      <c r="L177" s="1544"/>
      <c r="M177" s="1544"/>
      <c r="N177" s="1544"/>
      <c r="O177" s="1544"/>
    </row>
    <row r="178" spans="8:15">
      <c r="H178" s="1543" t="s">
        <v>2146</v>
      </c>
      <c r="I178" s="1544" t="s">
        <v>482</v>
      </c>
      <c r="J178" s="1544" t="s">
        <v>2147</v>
      </c>
      <c r="K178" s="1544"/>
      <c r="L178" s="1544"/>
      <c r="M178" s="1544"/>
      <c r="N178" s="1544"/>
      <c r="O178" s="1544"/>
    </row>
    <row r="179" spans="8:15">
      <c r="H179" s="1543" t="s">
        <v>2148</v>
      </c>
      <c r="I179" s="1544" t="s">
        <v>482</v>
      </c>
      <c r="J179" s="1544" t="s">
        <v>2149</v>
      </c>
      <c r="K179" s="1544"/>
      <c r="L179" s="1544"/>
      <c r="M179" s="1544"/>
      <c r="N179" s="1544"/>
      <c r="O179" s="1544"/>
    </row>
    <row r="180" spans="8:15">
      <c r="H180" s="1543" t="s">
        <v>2150</v>
      </c>
      <c r="I180" s="1544" t="s">
        <v>482</v>
      </c>
      <c r="J180" s="1544" t="s">
        <v>2151</v>
      </c>
      <c r="K180" s="1544"/>
      <c r="L180" s="1544"/>
      <c r="M180" s="1544"/>
      <c r="N180" s="1544"/>
      <c r="O180" s="1544"/>
    </row>
    <row r="181" spans="8:15">
      <c r="H181" s="1543" t="s">
        <v>2152</v>
      </c>
      <c r="I181" s="1544" t="s">
        <v>482</v>
      </c>
      <c r="J181" s="1544" t="s">
        <v>2153</v>
      </c>
      <c r="K181" s="1544"/>
      <c r="L181" s="1544"/>
      <c r="M181" s="1544"/>
      <c r="N181" s="1544"/>
      <c r="O181" s="1544"/>
    </row>
    <row r="182" spans="8:15">
      <c r="H182" s="1543" t="s">
        <v>2154</v>
      </c>
      <c r="I182" s="1544" t="s">
        <v>482</v>
      </c>
      <c r="J182" s="1544" t="s">
        <v>2155</v>
      </c>
      <c r="K182" s="1544"/>
      <c r="L182" s="1544"/>
      <c r="M182" s="1544"/>
      <c r="N182" s="1544"/>
      <c r="O182" s="1544"/>
    </row>
    <row r="183" spans="8:15">
      <c r="H183" s="1543" t="s">
        <v>2156</v>
      </c>
      <c r="I183" s="1544" t="s">
        <v>482</v>
      </c>
      <c r="J183" s="1544" t="s">
        <v>2157</v>
      </c>
      <c r="K183" s="1544"/>
      <c r="L183" s="1544"/>
      <c r="M183" s="1544"/>
      <c r="N183" s="1544"/>
      <c r="O183" s="1544"/>
    </row>
    <row r="184" spans="8:15">
      <c r="H184" s="1543" t="s">
        <v>2158</v>
      </c>
      <c r="I184" s="1544" t="s">
        <v>482</v>
      </c>
      <c r="J184" s="1544" t="s">
        <v>2159</v>
      </c>
      <c r="K184" s="1544"/>
      <c r="L184" s="1544"/>
      <c r="M184" s="1544"/>
      <c r="N184" s="1544"/>
      <c r="O184" s="1544"/>
    </row>
    <row r="185" spans="8:15">
      <c r="H185" s="1543" t="s">
        <v>2160</v>
      </c>
      <c r="I185" s="1544" t="s">
        <v>482</v>
      </c>
      <c r="J185" s="1544" t="s">
        <v>2161</v>
      </c>
      <c r="K185" s="1544"/>
      <c r="L185" s="1544"/>
      <c r="M185" s="1544"/>
      <c r="N185" s="1544"/>
      <c r="O185" s="1544"/>
    </row>
    <row r="186" spans="8:15">
      <c r="H186" s="1543" t="s">
        <v>2162</v>
      </c>
      <c r="I186" s="1544" t="s">
        <v>482</v>
      </c>
      <c r="J186" s="1544" t="s">
        <v>2163</v>
      </c>
      <c r="K186" s="1544"/>
      <c r="L186" s="1544"/>
      <c r="M186" s="1544"/>
      <c r="N186" s="1544"/>
      <c r="O186" s="1544"/>
    </row>
    <row r="187" spans="8:15">
      <c r="H187" s="1543" t="s">
        <v>2164</v>
      </c>
      <c r="I187" s="1544" t="s">
        <v>482</v>
      </c>
      <c r="J187" s="1544" t="s">
        <v>2165</v>
      </c>
      <c r="K187" s="1544"/>
      <c r="L187" s="1544"/>
      <c r="M187" s="1544"/>
      <c r="N187" s="1544"/>
      <c r="O187" s="1544"/>
    </row>
    <row r="188" spans="8:15">
      <c r="H188" s="1543" t="s">
        <v>2166</v>
      </c>
      <c r="I188" s="1544" t="s">
        <v>482</v>
      </c>
      <c r="J188" s="1544" t="s">
        <v>2167</v>
      </c>
      <c r="K188" s="1544"/>
      <c r="L188" s="1544"/>
      <c r="M188" s="1544"/>
      <c r="N188" s="1544"/>
      <c r="O188" s="1544"/>
    </row>
    <row r="189" spans="8:15">
      <c r="H189" s="1543" t="s">
        <v>2168</v>
      </c>
      <c r="I189" s="1544" t="s">
        <v>482</v>
      </c>
      <c r="J189" s="1544" t="s">
        <v>2169</v>
      </c>
      <c r="K189" s="1544"/>
      <c r="L189" s="1544"/>
      <c r="M189" s="1544"/>
      <c r="N189" s="1544"/>
      <c r="O189" s="1544"/>
    </row>
    <row r="190" spans="8:15">
      <c r="H190" s="1543" t="s">
        <v>2170</v>
      </c>
      <c r="I190" s="1544" t="s">
        <v>482</v>
      </c>
      <c r="J190" s="1544" t="s">
        <v>2171</v>
      </c>
      <c r="K190" s="1544"/>
      <c r="L190" s="1544"/>
      <c r="M190" s="1544"/>
      <c r="N190" s="1544"/>
      <c r="O190" s="1544"/>
    </row>
    <row r="191" spans="8:15">
      <c r="H191" s="1543" t="s">
        <v>2172</v>
      </c>
      <c r="I191" s="1544" t="s">
        <v>482</v>
      </c>
      <c r="J191" s="1544" t="s">
        <v>2173</v>
      </c>
      <c r="K191" s="1544"/>
      <c r="L191" s="1544"/>
      <c r="M191" s="1544"/>
      <c r="N191" s="1544"/>
      <c r="O191" s="1544"/>
    </row>
    <row r="192" spans="8:15">
      <c r="H192" s="1543" t="s">
        <v>2174</v>
      </c>
      <c r="I192" s="1544" t="s">
        <v>482</v>
      </c>
      <c r="J192" s="1544" t="s">
        <v>2175</v>
      </c>
      <c r="K192" s="1544"/>
      <c r="L192" s="1544"/>
      <c r="M192" s="1544"/>
      <c r="N192" s="1544"/>
      <c r="O192" s="1544"/>
    </row>
    <row r="193" spans="8:15">
      <c r="H193" s="1543" t="s">
        <v>2176</v>
      </c>
      <c r="I193" s="1544" t="s">
        <v>482</v>
      </c>
      <c r="J193" s="1544" t="s">
        <v>2177</v>
      </c>
      <c r="K193" s="1544"/>
      <c r="L193" s="1544"/>
      <c r="M193" s="1544"/>
      <c r="N193" s="1544"/>
      <c r="O193" s="1544"/>
    </row>
    <row r="194" spans="8:15">
      <c r="H194" s="1543" t="s">
        <v>2178</v>
      </c>
      <c r="I194" s="1544" t="s">
        <v>482</v>
      </c>
      <c r="J194" s="1544" t="s">
        <v>2179</v>
      </c>
      <c r="K194" s="1544"/>
      <c r="L194" s="1544"/>
      <c r="M194" s="1544"/>
      <c r="N194" s="1544"/>
      <c r="O194" s="1544"/>
    </row>
    <row r="195" spans="8:15">
      <c r="H195" s="1543" t="s">
        <v>2180</v>
      </c>
      <c r="I195" s="1544" t="s">
        <v>482</v>
      </c>
      <c r="J195" s="1544" t="s">
        <v>2181</v>
      </c>
      <c r="K195" s="1544"/>
      <c r="L195" s="1544"/>
      <c r="M195" s="1544"/>
      <c r="N195" s="1544"/>
      <c r="O195" s="1544"/>
    </row>
    <row r="196" spans="8:15">
      <c r="H196" s="1543" t="s">
        <v>2182</v>
      </c>
      <c r="I196" s="1544" t="s">
        <v>482</v>
      </c>
      <c r="J196" s="1544" t="s">
        <v>2183</v>
      </c>
      <c r="K196" s="1544"/>
      <c r="L196" s="1544"/>
      <c r="M196" s="1544"/>
      <c r="N196" s="1544"/>
      <c r="O196" s="1544"/>
    </row>
    <row r="197" spans="8:15">
      <c r="H197" s="1543" t="s">
        <v>2184</v>
      </c>
      <c r="I197" s="1544" t="s">
        <v>482</v>
      </c>
      <c r="J197" s="1544" t="s">
        <v>2185</v>
      </c>
      <c r="K197" s="1544"/>
      <c r="L197" s="1544"/>
      <c r="M197" s="1544"/>
      <c r="N197" s="1544"/>
      <c r="O197" s="1544"/>
    </row>
    <row r="198" spans="8:15">
      <c r="H198" s="1543" t="s">
        <v>2186</v>
      </c>
      <c r="I198" s="1544" t="s">
        <v>482</v>
      </c>
      <c r="J198" s="1544" t="s">
        <v>2187</v>
      </c>
      <c r="K198" s="1544"/>
      <c r="L198" s="1544"/>
      <c r="M198" s="1544"/>
      <c r="N198" s="1544"/>
      <c r="O198" s="1544"/>
    </row>
    <row r="199" spans="8:15">
      <c r="H199" s="1543" t="s">
        <v>2188</v>
      </c>
      <c r="I199" s="1544" t="s">
        <v>482</v>
      </c>
      <c r="J199" s="1544" t="s">
        <v>2189</v>
      </c>
      <c r="K199" s="1544"/>
      <c r="L199" s="1544"/>
      <c r="M199" s="1544"/>
      <c r="N199" s="1544"/>
      <c r="O199" s="1544"/>
    </row>
    <row r="200" spans="8:15">
      <c r="H200" s="1543" t="s">
        <v>2190</v>
      </c>
      <c r="I200" s="1544" t="s">
        <v>482</v>
      </c>
      <c r="J200" s="1544" t="s">
        <v>2191</v>
      </c>
      <c r="K200" s="1544"/>
      <c r="L200" s="1544"/>
      <c r="M200" s="1544"/>
      <c r="N200" s="1544"/>
      <c r="O200" s="1544"/>
    </row>
    <row r="201" spans="8:15">
      <c r="H201" s="1543" t="s">
        <v>2192</v>
      </c>
      <c r="I201" s="1544" t="s">
        <v>482</v>
      </c>
      <c r="J201" s="1544" t="s">
        <v>2193</v>
      </c>
      <c r="K201" s="1544"/>
      <c r="L201" s="1544"/>
      <c r="M201" s="1544"/>
      <c r="N201" s="1544"/>
      <c r="O201" s="1544"/>
    </row>
    <row r="202" spans="8:15">
      <c r="H202" s="1543" t="s">
        <v>2194</v>
      </c>
      <c r="I202" s="1544" t="s">
        <v>482</v>
      </c>
      <c r="J202" s="1544" t="s">
        <v>2195</v>
      </c>
      <c r="K202" s="1544"/>
      <c r="L202" s="1544"/>
      <c r="M202" s="1544"/>
      <c r="N202" s="1544"/>
      <c r="O202" s="1544"/>
    </row>
    <row r="203" spans="8:15">
      <c r="H203" s="1543" t="s">
        <v>2196</v>
      </c>
      <c r="I203" s="1544" t="s">
        <v>482</v>
      </c>
      <c r="J203" s="1544" t="s">
        <v>2197</v>
      </c>
      <c r="K203" s="1544"/>
      <c r="L203" s="1544"/>
      <c r="M203" s="1544"/>
      <c r="N203" s="1544"/>
      <c r="O203" s="1544"/>
    </row>
    <row r="204" spans="8:15">
      <c r="H204" s="1543" t="s">
        <v>2198</v>
      </c>
      <c r="I204" s="1544" t="s">
        <v>482</v>
      </c>
      <c r="J204" s="1544" t="s">
        <v>2199</v>
      </c>
      <c r="K204" s="1544"/>
      <c r="L204" s="1544"/>
      <c r="M204" s="1544"/>
      <c r="N204" s="1544"/>
      <c r="O204" s="1544"/>
    </row>
    <row r="205" spans="8:15">
      <c r="H205" s="1543" t="s">
        <v>2200</v>
      </c>
      <c r="I205" s="1544" t="s">
        <v>482</v>
      </c>
      <c r="J205" s="1544" t="s">
        <v>2201</v>
      </c>
      <c r="K205" s="1544"/>
      <c r="L205" s="1544"/>
      <c r="M205" s="1544"/>
      <c r="N205" s="1544"/>
      <c r="O205" s="1544"/>
    </row>
    <row r="206" spans="8:15">
      <c r="H206" s="1543" t="s">
        <v>2202</v>
      </c>
      <c r="I206" s="1544" t="s">
        <v>482</v>
      </c>
      <c r="J206" s="1544" t="s">
        <v>2203</v>
      </c>
      <c r="K206" s="1544"/>
      <c r="L206" s="1544"/>
      <c r="M206" s="1544"/>
      <c r="N206" s="1544"/>
      <c r="O206" s="1544"/>
    </row>
    <row r="207" spans="8:15">
      <c r="H207" s="1543" t="s">
        <v>2204</v>
      </c>
      <c r="I207" s="1544" t="s">
        <v>482</v>
      </c>
      <c r="J207" s="1544" t="s">
        <v>2205</v>
      </c>
      <c r="K207" s="1544"/>
      <c r="L207" s="1544"/>
      <c r="M207" s="1544"/>
      <c r="N207" s="1544"/>
      <c r="O207" s="1544"/>
    </row>
    <row r="208" spans="8:15">
      <c r="H208" s="1543" t="s">
        <v>2206</v>
      </c>
      <c r="I208" s="1544" t="s">
        <v>482</v>
      </c>
      <c r="J208" s="1544" t="s">
        <v>2207</v>
      </c>
      <c r="K208" s="1544"/>
      <c r="L208" s="1544"/>
      <c r="M208" s="1544"/>
      <c r="N208" s="1544"/>
      <c r="O208" s="1544"/>
    </row>
    <row r="209" spans="8:15">
      <c r="H209" s="1543" t="s">
        <v>2208</v>
      </c>
      <c r="I209" s="1544" t="s">
        <v>482</v>
      </c>
      <c r="J209" s="1544" t="s">
        <v>2209</v>
      </c>
      <c r="K209" s="1544"/>
      <c r="L209" s="1544"/>
      <c r="M209" s="1544"/>
      <c r="N209" s="1544"/>
      <c r="O209" s="1544"/>
    </row>
    <row r="210" spans="8:15">
      <c r="H210" s="1543" t="s">
        <v>2210</v>
      </c>
      <c r="I210" s="1544" t="s">
        <v>482</v>
      </c>
      <c r="J210" s="1544" t="s">
        <v>2211</v>
      </c>
      <c r="K210" s="1544"/>
      <c r="L210" s="1544"/>
      <c r="M210" s="1544"/>
      <c r="N210" s="1544"/>
      <c r="O210" s="1544"/>
    </row>
    <row r="211" spans="8:15">
      <c r="H211" s="1543" t="s">
        <v>2212</v>
      </c>
      <c r="I211" s="1544" t="s">
        <v>482</v>
      </c>
      <c r="J211" s="1544" t="s">
        <v>2213</v>
      </c>
      <c r="K211" s="1544"/>
      <c r="L211" s="1544"/>
      <c r="M211" s="1544"/>
      <c r="N211" s="1544"/>
      <c r="O211" s="1544"/>
    </row>
    <row r="212" spans="8:15">
      <c r="H212" s="1543" t="s">
        <v>2214</v>
      </c>
      <c r="I212" s="1544" t="s">
        <v>482</v>
      </c>
      <c r="J212" s="1544" t="s">
        <v>2215</v>
      </c>
      <c r="K212" s="1544"/>
      <c r="L212" s="1544"/>
      <c r="M212" s="1544"/>
      <c r="N212" s="1544"/>
      <c r="O212" s="1544"/>
    </row>
    <row r="213" spans="8:15">
      <c r="H213" s="1543" t="s">
        <v>2216</v>
      </c>
      <c r="I213" s="1544" t="s">
        <v>482</v>
      </c>
      <c r="J213" s="1544" t="s">
        <v>2217</v>
      </c>
      <c r="K213" s="1544"/>
      <c r="L213" s="1544"/>
      <c r="M213" s="1544"/>
      <c r="N213" s="1544"/>
      <c r="O213" s="1544"/>
    </row>
    <row r="214" spans="8:15">
      <c r="H214" s="1543" t="s">
        <v>2218</v>
      </c>
      <c r="I214" s="1544" t="s">
        <v>482</v>
      </c>
      <c r="J214" s="1544" t="s">
        <v>2219</v>
      </c>
      <c r="K214" s="1544"/>
      <c r="L214" s="1544"/>
      <c r="M214" s="1544"/>
      <c r="N214" s="1544"/>
      <c r="O214" s="1544"/>
    </row>
    <row r="215" spans="8:15">
      <c r="H215" s="1543" t="s">
        <v>2220</v>
      </c>
      <c r="I215" s="1544" t="s">
        <v>482</v>
      </c>
      <c r="J215" s="1544" t="s">
        <v>2221</v>
      </c>
      <c r="K215" s="1544"/>
      <c r="L215" s="1544"/>
      <c r="M215" s="1544"/>
      <c r="N215" s="1544"/>
      <c r="O215" s="1544"/>
    </row>
    <row r="216" spans="8:15">
      <c r="H216" s="1543" t="s">
        <v>2222</v>
      </c>
      <c r="I216" s="1544" t="s">
        <v>482</v>
      </c>
      <c r="J216" s="1544" t="s">
        <v>2223</v>
      </c>
      <c r="K216" s="1544"/>
      <c r="L216" s="1544"/>
      <c r="M216" s="1544"/>
      <c r="N216" s="1544"/>
      <c r="O216" s="1544"/>
    </row>
    <row r="217" spans="8:15">
      <c r="H217" s="1543" t="s">
        <v>2224</v>
      </c>
      <c r="I217" s="1544" t="s">
        <v>482</v>
      </c>
      <c r="J217" s="1544" t="s">
        <v>2225</v>
      </c>
      <c r="K217" s="1544"/>
      <c r="L217" s="1544"/>
      <c r="M217" s="1544"/>
      <c r="N217" s="1544"/>
      <c r="O217" s="1544"/>
    </row>
    <row r="218" spans="8:15">
      <c r="H218" s="1543" t="s">
        <v>2226</v>
      </c>
      <c r="I218" s="1544" t="s">
        <v>482</v>
      </c>
      <c r="J218" s="1544" t="s">
        <v>2227</v>
      </c>
      <c r="K218" s="1544"/>
      <c r="L218" s="1544"/>
      <c r="M218" s="1544"/>
      <c r="N218" s="1544"/>
      <c r="O218" s="1544"/>
    </row>
    <row r="219" spans="8:15">
      <c r="H219" s="1543" t="s">
        <v>2228</v>
      </c>
      <c r="I219" s="1544" t="s">
        <v>482</v>
      </c>
      <c r="J219" s="1544" t="s">
        <v>2229</v>
      </c>
      <c r="K219" s="1544"/>
      <c r="L219" s="1544"/>
      <c r="M219" s="1544"/>
      <c r="N219" s="1544"/>
      <c r="O219" s="1544"/>
    </row>
    <row r="220" spans="8:15">
      <c r="H220" s="1543" t="s">
        <v>2230</v>
      </c>
      <c r="I220" s="1544" t="s">
        <v>482</v>
      </c>
      <c r="J220" s="1544" t="s">
        <v>2231</v>
      </c>
      <c r="K220" s="1544"/>
      <c r="L220" s="1544"/>
      <c r="M220" s="1544"/>
      <c r="N220" s="1544"/>
      <c r="O220" s="1544"/>
    </row>
    <row r="221" spans="8:15">
      <c r="H221" s="1543" t="s">
        <v>2232</v>
      </c>
      <c r="I221" s="1544" t="s">
        <v>482</v>
      </c>
      <c r="J221" s="1544" t="s">
        <v>2233</v>
      </c>
      <c r="K221" s="1544"/>
      <c r="L221" s="1544"/>
      <c r="M221" s="1544"/>
      <c r="N221" s="1544"/>
      <c r="O221" s="1544"/>
    </row>
    <row r="222" spans="8:15">
      <c r="H222" s="1543" t="s">
        <v>2234</v>
      </c>
      <c r="I222" s="1544" t="s">
        <v>482</v>
      </c>
      <c r="J222" s="1544" t="s">
        <v>2235</v>
      </c>
      <c r="K222" s="1544"/>
      <c r="L222" s="1544"/>
      <c r="M222" s="1544"/>
      <c r="N222" s="1544"/>
      <c r="O222" s="1544"/>
    </row>
    <row r="223" spans="8:15">
      <c r="H223" s="1543" t="s">
        <v>2236</v>
      </c>
      <c r="I223" s="1544" t="s">
        <v>482</v>
      </c>
      <c r="J223" s="1544" t="s">
        <v>2237</v>
      </c>
      <c r="K223" s="1544"/>
      <c r="L223" s="1544"/>
      <c r="M223" s="1544"/>
      <c r="N223" s="1544"/>
      <c r="O223" s="1544"/>
    </row>
    <row r="224" spans="8:15">
      <c r="H224" s="1543" t="s">
        <v>2238</v>
      </c>
      <c r="I224" s="1544" t="s">
        <v>482</v>
      </c>
      <c r="J224" s="1544" t="s">
        <v>2239</v>
      </c>
      <c r="K224" s="1544"/>
      <c r="L224" s="1544"/>
      <c r="M224" s="1544"/>
      <c r="N224" s="1544"/>
      <c r="O224" s="1544"/>
    </row>
    <row r="225" spans="8:15">
      <c r="H225" s="1543" t="s">
        <v>2240</v>
      </c>
      <c r="I225" s="1544" t="s">
        <v>482</v>
      </c>
      <c r="J225" s="1544" t="s">
        <v>2241</v>
      </c>
      <c r="K225" s="1544"/>
      <c r="L225" s="1544"/>
      <c r="M225" s="1544"/>
      <c r="N225" s="1544"/>
      <c r="O225" s="1544"/>
    </row>
    <row r="226" spans="8:15">
      <c r="H226" s="1543" t="s">
        <v>2242</v>
      </c>
      <c r="I226" s="1544" t="s">
        <v>482</v>
      </c>
      <c r="J226" s="1544" t="s">
        <v>2243</v>
      </c>
      <c r="K226" s="1544"/>
      <c r="L226" s="1544"/>
      <c r="M226" s="1544"/>
      <c r="N226" s="1544"/>
      <c r="O226" s="1544"/>
    </row>
    <row r="227" spans="8:15">
      <c r="H227" s="1543" t="s">
        <v>2244</v>
      </c>
      <c r="I227" s="1544" t="s">
        <v>482</v>
      </c>
      <c r="J227" s="1544" t="s">
        <v>2245</v>
      </c>
      <c r="K227" s="1544"/>
      <c r="L227" s="1544"/>
      <c r="M227" s="1544"/>
      <c r="N227" s="1544"/>
      <c r="O227" s="1544"/>
    </row>
    <row r="228" spans="8:15">
      <c r="H228" s="1543" t="s">
        <v>2246</v>
      </c>
      <c r="I228" s="1544" t="s">
        <v>482</v>
      </c>
      <c r="J228" s="1544" t="s">
        <v>2247</v>
      </c>
      <c r="K228" s="1544"/>
      <c r="L228" s="1544"/>
      <c r="M228" s="1544"/>
      <c r="N228" s="1544"/>
      <c r="O228" s="1544"/>
    </row>
    <row r="229" spans="8:15">
      <c r="H229" s="1543" t="s">
        <v>2248</v>
      </c>
      <c r="I229" s="1544" t="s">
        <v>482</v>
      </c>
      <c r="J229" s="1544" t="s">
        <v>2249</v>
      </c>
      <c r="K229" s="1544"/>
      <c r="L229" s="1544"/>
      <c r="M229" s="1544"/>
      <c r="N229" s="1544"/>
      <c r="O229" s="1544"/>
    </row>
    <row r="230" spans="8:15">
      <c r="H230" s="1543" t="s">
        <v>2250</v>
      </c>
      <c r="I230" s="1544" t="s">
        <v>482</v>
      </c>
      <c r="J230" s="1544" t="s">
        <v>2251</v>
      </c>
      <c r="K230" s="1544"/>
      <c r="L230" s="1544"/>
      <c r="M230" s="1544"/>
      <c r="N230" s="1544"/>
      <c r="O230" s="1544"/>
    </row>
    <row r="231" spans="8:15">
      <c r="H231" s="1543" t="s">
        <v>2252</v>
      </c>
      <c r="I231" s="1544" t="s">
        <v>482</v>
      </c>
      <c r="J231" s="1544" t="s">
        <v>2253</v>
      </c>
      <c r="K231" s="1544"/>
      <c r="L231" s="1544"/>
      <c r="M231" s="1544"/>
      <c r="N231" s="1544"/>
      <c r="O231" s="1544"/>
    </row>
    <row r="232" spans="8:15">
      <c r="H232" s="1543" t="s">
        <v>2254</v>
      </c>
      <c r="I232" s="1544" t="s">
        <v>482</v>
      </c>
      <c r="J232" s="1544" t="s">
        <v>2255</v>
      </c>
      <c r="K232" s="1544"/>
      <c r="L232" s="1544"/>
      <c r="M232" s="1544"/>
      <c r="N232" s="1544"/>
      <c r="O232" s="1544"/>
    </row>
    <row r="233" spans="8:15">
      <c r="H233" s="1543" t="s">
        <v>2256</v>
      </c>
      <c r="I233" s="1544" t="s">
        <v>482</v>
      </c>
      <c r="J233" s="1544" t="s">
        <v>2257</v>
      </c>
      <c r="K233" s="1544"/>
      <c r="L233" s="1544"/>
      <c r="M233" s="1544"/>
      <c r="N233" s="1544"/>
      <c r="O233" s="1544"/>
    </row>
    <row r="234" spans="8:15">
      <c r="H234" s="1543" t="s">
        <v>2258</v>
      </c>
      <c r="I234" s="1544" t="s">
        <v>482</v>
      </c>
      <c r="J234" s="1544" t="s">
        <v>2259</v>
      </c>
      <c r="K234" s="1544"/>
      <c r="L234" s="1544"/>
      <c r="M234" s="1544"/>
      <c r="N234" s="1544"/>
      <c r="O234" s="1544"/>
    </row>
    <row r="235" spans="8:15">
      <c r="H235" s="1543" t="s">
        <v>2260</v>
      </c>
      <c r="I235" s="1544" t="s">
        <v>482</v>
      </c>
      <c r="J235" s="1544" t="s">
        <v>2261</v>
      </c>
      <c r="K235" s="1544"/>
      <c r="L235" s="1544"/>
      <c r="M235" s="1544"/>
      <c r="N235" s="1544"/>
      <c r="O235" s="1544"/>
    </row>
    <row r="236" spans="8:15">
      <c r="H236" s="1543" t="s">
        <v>2262</v>
      </c>
      <c r="I236" s="1544" t="s">
        <v>482</v>
      </c>
      <c r="J236" s="1544" t="s">
        <v>2263</v>
      </c>
      <c r="K236" s="1544"/>
      <c r="L236" s="1544"/>
      <c r="M236" s="1544"/>
      <c r="N236" s="1544"/>
      <c r="O236" s="1544"/>
    </row>
    <row r="237" spans="8:15">
      <c r="H237" s="1543" t="s">
        <v>2264</v>
      </c>
      <c r="I237" s="1544" t="s">
        <v>482</v>
      </c>
      <c r="J237" s="1544" t="s">
        <v>2265</v>
      </c>
      <c r="K237" s="1544"/>
      <c r="L237" s="1544"/>
      <c r="M237" s="1544"/>
      <c r="N237" s="1544"/>
      <c r="O237" s="1544"/>
    </row>
    <row r="238" spans="8:15">
      <c r="H238" s="1543" t="s">
        <v>2266</v>
      </c>
      <c r="I238" s="1544" t="s">
        <v>482</v>
      </c>
      <c r="J238" s="1544" t="s">
        <v>2267</v>
      </c>
      <c r="K238" s="1544"/>
      <c r="L238" s="1544"/>
      <c r="M238" s="1544"/>
      <c r="N238" s="1544"/>
      <c r="O238" s="1544"/>
    </row>
    <row r="239" spans="8:15">
      <c r="H239" s="1543" t="s">
        <v>2268</v>
      </c>
      <c r="I239" s="1544" t="s">
        <v>482</v>
      </c>
      <c r="J239" s="1544" t="s">
        <v>2269</v>
      </c>
      <c r="K239" s="1544"/>
      <c r="L239" s="1544"/>
      <c r="M239" s="1544"/>
      <c r="N239" s="1544"/>
      <c r="O239" s="1544"/>
    </row>
    <row r="240" spans="8:15">
      <c r="H240" s="1543" t="s">
        <v>2270</v>
      </c>
      <c r="I240" s="1544" t="s">
        <v>482</v>
      </c>
      <c r="J240" s="1544" t="s">
        <v>2271</v>
      </c>
      <c r="K240" s="1544"/>
      <c r="L240" s="1544"/>
      <c r="M240" s="1544"/>
      <c r="N240" s="1544"/>
      <c r="O240" s="1544"/>
    </row>
    <row r="241" spans="8:15">
      <c r="H241" s="1543" t="s">
        <v>2272</v>
      </c>
      <c r="I241" s="1544" t="s">
        <v>482</v>
      </c>
      <c r="J241" s="1544" t="s">
        <v>2273</v>
      </c>
      <c r="K241" s="1544"/>
      <c r="L241" s="1544"/>
      <c r="M241" s="1544"/>
      <c r="N241" s="1544"/>
      <c r="O241" s="1544"/>
    </row>
    <row r="242" spans="8:15">
      <c r="H242" s="1543" t="s">
        <v>2274</v>
      </c>
      <c r="I242" s="1544" t="s">
        <v>482</v>
      </c>
      <c r="J242" s="1544" t="s">
        <v>2275</v>
      </c>
      <c r="K242" s="1544"/>
      <c r="L242" s="1544"/>
      <c r="M242" s="1544"/>
      <c r="N242" s="1544"/>
      <c r="O242" s="1544"/>
    </row>
    <row r="243" spans="8:15">
      <c r="H243" s="1543" t="s">
        <v>2276</v>
      </c>
      <c r="I243" s="1544" t="s">
        <v>482</v>
      </c>
      <c r="J243" s="1544" t="s">
        <v>2277</v>
      </c>
      <c r="K243" s="1544"/>
      <c r="L243" s="1544"/>
      <c r="M243" s="1544"/>
      <c r="N243" s="1544"/>
      <c r="O243" s="1544"/>
    </row>
    <row r="244" spans="8:15">
      <c r="H244" s="1543" t="s">
        <v>2278</v>
      </c>
      <c r="I244" s="1544" t="s">
        <v>482</v>
      </c>
      <c r="J244" s="1544" t="s">
        <v>2279</v>
      </c>
      <c r="K244" s="1544"/>
      <c r="L244" s="1544"/>
      <c r="M244" s="1544"/>
      <c r="N244" s="1544"/>
      <c r="O244" s="1544"/>
    </row>
    <row r="245" spans="8:15">
      <c r="H245" s="1543" t="s">
        <v>2280</v>
      </c>
      <c r="I245" s="1544" t="s">
        <v>482</v>
      </c>
      <c r="J245" s="1544" t="s">
        <v>2281</v>
      </c>
      <c r="K245" s="1544"/>
      <c r="L245" s="1544"/>
      <c r="M245" s="1544"/>
      <c r="N245" s="1544"/>
      <c r="O245" s="1544"/>
    </row>
    <row r="246" spans="8:15">
      <c r="H246" s="1543" t="s">
        <v>2282</v>
      </c>
      <c r="I246" s="1544" t="s">
        <v>482</v>
      </c>
      <c r="J246" s="1544" t="s">
        <v>2283</v>
      </c>
      <c r="K246" s="1544"/>
      <c r="L246" s="1544"/>
      <c r="M246" s="1544"/>
      <c r="N246" s="1544"/>
      <c r="O246" s="1544"/>
    </row>
    <row r="247" spans="8:15">
      <c r="H247" s="1543" t="s">
        <v>2284</v>
      </c>
      <c r="I247" s="1544" t="s">
        <v>482</v>
      </c>
      <c r="J247" s="1544" t="s">
        <v>2285</v>
      </c>
      <c r="K247" s="1544"/>
      <c r="L247" s="1544"/>
      <c r="M247" s="1544"/>
      <c r="N247" s="1544"/>
      <c r="O247" s="1544"/>
    </row>
    <row r="248" spans="8:15">
      <c r="H248" s="1543" t="s">
        <v>2286</v>
      </c>
      <c r="I248" s="1544" t="s">
        <v>482</v>
      </c>
      <c r="J248" s="1544" t="s">
        <v>2287</v>
      </c>
      <c r="K248" s="1544"/>
      <c r="L248" s="1544"/>
      <c r="M248" s="1544"/>
      <c r="N248" s="1544"/>
      <c r="O248" s="1544"/>
    </row>
    <row r="249" spans="8:15">
      <c r="H249" s="1543" t="s">
        <v>2288</v>
      </c>
      <c r="I249" s="1544" t="s">
        <v>482</v>
      </c>
      <c r="J249" s="1544" t="s">
        <v>2289</v>
      </c>
      <c r="K249" s="1544"/>
      <c r="L249" s="1544"/>
      <c r="M249" s="1544"/>
      <c r="N249" s="1544"/>
      <c r="O249" s="1544"/>
    </row>
    <row r="250" spans="8:15">
      <c r="H250" s="1543" t="s">
        <v>2290</v>
      </c>
      <c r="I250" s="1544" t="s">
        <v>482</v>
      </c>
      <c r="J250" s="1544" t="s">
        <v>2291</v>
      </c>
      <c r="K250" s="1544"/>
      <c r="L250" s="1544"/>
      <c r="M250" s="1544"/>
      <c r="N250" s="1544"/>
      <c r="O250" s="1544"/>
    </row>
    <row r="251" spans="8:15">
      <c r="H251" s="1543" t="s">
        <v>2292</v>
      </c>
      <c r="I251" s="1544" t="s">
        <v>482</v>
      </c>
      <c r="J251" s="1544" t="s">
        <v>2293</v>
      </c>
      <c r="K251" s="1544"/>
      <c r="L251" s="1544"/>
      <c r="M251" s="1544"/>
      <c r="N251" s="1544"/>
      <c r="O251" s="1544"/>
    </row>
    <row r="252" spans="8:15">
      <c r="H252" s="1543" t="s">
        <v>2294</v>
      </c>
      <c r="I252" s="1544" t="s">
        <v>482</v>
      </c>
      <c r="J252" s="1544" t="s">
        <v>2295</v>
      </c>
      <c r="K252" s="1544"/>
      <c r="L252" s="1544"/>
      <c r="M252" s="1544"/>
      <c r="N252" s="1544"/>
      <c r="O252" s="1544"/>
    </row>
    <row r="253" spans="8:15">
      <c r="H253" s="1543" t="s">
        <v>2296</v>
      </c>
      <c r="I253" s="1544" t="s">
        <v>482</v>
      </c>
      <c r="J253" s="1544" t="s">
        <v>2297</v>
      </c>
      <c r="K253" s="1544"/>
      <c r="L253" s="1544"/>
      <c r="M253" s="1544"/>
      <c r="N253" s="1544"/>
      <c r="O253" s="1544"/>
    </row>
    <row r="254" spans="8:15">
      <c r="H254" s="1543" t="s">
        <v>2298</v>
      </c>
      <c r="I254" s="1544" t="s">
        <v>482</v>
      </c>
      <c r="J254" s="1544" t="s">
        <v>2299</v>
      </c>
      <c r="K254" s="1544"/>
      <c r="L254" s="1544"/>
      <c r="M254" s="1544"/>
      <c r="N254" s="1544"/>
      <c r="O254" s="1544"/>
    </row>
    <row r="255" spans="8:15">
      <c r="H255" s="1543" t="s">
        <v>2300</v>
      </c>
      <c r="I255" s="1544" t="s">
        <v>482</v>
      </c>
      <c r="J255" s="1544" t="s">
        <v>2301</v>
      </c>
      <c r="K255" s="1544"/>
      <c r="L255" s="1544"/>
      <c r="M255" s="1544"/>
      <c r="N255" s="1544"/>
      <c r="O255" s="1544"/>
    </row>
    <row r="256" spans="8:15">
      <c r="H256" s="1543" t="s">
        <v>2302</v>
      </c>
      <c r="I256" s="1544" t="s">
        <v>482</v>
      </c>
      <c r="J256" s="1544" t="s">
        <v>2303</v>
      </c>
      <c r="K256" s="1544"/>
      <c r="L256" s="1544"/>
      <c r="M256" s="1544"/>
      <c r="N256" s="1544"/>
      <c r="O256" s="1544"/>
    </row>
    <row r="257" spans="8:15">
      <c r="H257" s="1543" t="s">
        <v>2304</v>
      </c>
      <c r="I257" s="1544" t="s">
        <v>482</v>
      </c>
      <c r="J257" s="1544" t="s">
        <v>2305</v>
      </c>
      <c r="K257" s="1544"/>
      <c r="L257" s="1544"/>
      <c r="M257" s="1544"/>
      <c r="N257" s="1544"/>
      <c r="O257" s="1544"/>
    </row>
    <row r="258" spans="8:15">
      <c r="H258" s="1543" t="s">
        <v>2306</v>
      </c>
      <c r="I258" s="1544" t="s">
        <v>482</v>
      </c>
      <c r="J258" s="1544" t="s">
        <v>2307</v>
      </c>
      <c r="K258" s="1544"/>
      <c r="L258" s="1544"/>
      <c r="M258" s="1544"/>
      <c r="N258" s="1544"/>
      <c r="O258" s="1544"/>
    </row>
    <row r="259" spans="8:15">
      <c r="H259" s="1543" t="s">
        <v>2308</v>
      </c>
      <c r="I259" s="1544" t="s">
        <v>482</v>
      </c>
      <c r="J259" s="1544" t="s">
        <v>2309</v>
      </c>
      <c r="K259" s="1544"/>
      <c r="L259" s="1544"/>
      <c r="M259" s="1544"/>
      <c r="N259" s="1544"/>
      <c r="O259" s="1544"/>
    </row>
    <row r="260" spans="8:15">
      <c r="H260" s="1543" t="s">
        <v>2310</v>
      </c>
      <c r="I260" s="1544" t="s">
        <v>482</v>
      </c>
      <c r="J260" s="1544" t="s">
        <v>2311</v>
      </c>
      <c r="K260" s="1544"/>
      <c r="L260" s="1544"/>
      <c r="M260" s="1544"/>
      <c r="N260" s="1544"/>
      <c r="O260" s="1544"/>
    </row>
    <row r="261" spans="8:15">
      <c r="H261" s="1543" t="s">
        <v>2312</v>
      </c>
      <c r="I261" s="1544" t="s">
        <v>482</v>
      </c>
      <c r="J261" s="1544" t="s">
        <v>2313</v>
      </c>
      <c r="K261" s="1544"/>
      <c r="L261" s="1544"/>
      <c r="M261" s="1544"/>
      <c r="N261" s="1544"/>
      <c r="O261" s="1544"/>
    </row>
    <row r="262" spans="8:15">
      <c r="H262" s="1543" t="s">
        <v>2314</v>
      </c>
      <c r="I262" s="1544" t="s">
        <v>482</v>
      </c>
      <c r="J262" s="1544" t="s">
        <v>2315</v>
      </c>
      <c r="K262" s="1544"/>
      <c r="L262" s="1544"/>
      <c r="M262" s="1544"/>
      <c r="N262" s="1544"/>
      <c r="O262" s="1544"/>
    </row>
    <row r="263" spans="8:15">
      <c r="H263" s="1543" t="s">
        <v>2316</v>
      </c>
      <c r="I263" s="1544" t="s">
        <v>482</v>
      </c>
      <c r="J263" s="1544" t="s">
        <v>2317</v>
      </c>
      <c r="K263" s="1544"/>
      <c r="L263" s="1544"/>
      <c r="M263" s="1544"/>
      <c r="N263" s="1544"/>
      <c r="O263" s="1544"/>
    </row>
    <row r="264" spans="8:15">
      <c r="H264" s="1543" t="s">
        <v>2318</v>
      </c>
      <c r="I264" s="1544" t="s">
        <v>482</v>
      </c>
      <c r="J264" s="1544" t="s">
        <v>2319</v>
      </c>
      <c r="K264" s="1544"/>
      <c r="L264" s="1544"/>
      <c r="M264" s="1544"/>
      <c r="N264" s="1544"/>
      <c r="O264" s="1544"/>
    </row>
    <row r="265" spans="8:15">
      <c r="H265" s="1543" t="s">
        <v>2320</v>
      </c>
      <c r="I265" s="1544" t="s">
        <v>482</v>
      </c>
      <c r="J265" s="1544" t="s">
        <v>2321</v>
      </c>
      <c r="K265" s="1544"/>
      <c r="L265" s="1544"/>
      <c r="M265" s="1544"/>
      <c r="N265" s="1544"/>
      <c r="O265" s="1544"/>
    </row>
    <row r="266" spans="8:15">
      <c r="H266" s="1543" t="s">
        <v>2322</v>
      </c>
      <c r="I266" s="1544" t="s">
        <v>482</v>
      </c>
      <c r="J266" s="1544" t="s">
        <v>2323</v>
      </c>
      <c r="K266" s="1544"/>
      <c r="L266" s="1544"/>
      <c r="M266" s="1544"/>
      <c r="N266" s="1544"/>
      <c r="O266" s="1544"/>
    </row>
    <row r="267" spans="8:15">
      <c r="H267" s="1543" t="s">
        <v>2324</v>
      </c>
      <c r="I267" s="1544" t="s">
        <v>482</v>
      </c>
      <c r="J267" s="1544" t="s">
        <v>2325</v>
      </c>
      <c r="K267" s="1544"/>
      <c r="L267" s="1544"/>
      <c r="M267" s="1544"/>
      <c r="N267" s="1544"/>
      <c r="O267" s="1544"/>
    </row>
    <row r="268" spans="8:15">
      <c r="H268" s="1543" t="s">
        <v>2326</v>
      </c>
      <c r="I268" s="1544" t="s">
        <v>482</v>
      </c>
      <c r="J268" s="1544" t="s">
        <v>2327</v>
      </c>
      <c r="K268" s="1544"/>
      <c r="L268" s="1544"/>
      <c r="M268" s="1544"/>
      <c r="N268" s="1544"/>
      <c r="O268" s="1544"/>
    </row>
    <row r="269" spans="8:15">
      <c r="H269" s="1543" t="s">
        <v>2328</v>
      </c>
      <c r="I269" s="1544" t="s">
        <v>482</v>
      </c>
      <c r="J269" s="1544" t="s">
        <v>2329</v>
      </c>
      <c r="K269" s="1544"/>
      <c r="L269" s="1544"/>
      <c r="M269" s="1544"/>
      <c r="N269" s="1544"/>
      <c r="O269" s="1544"/>
    </row>
    <row r="270" spans="8:15">
      <c r="H270" s="1543" t="s">
        <v>2330</v>
      </c>
      <c r="I270" s="1544" t="s">
        <v>482</v>
      </c>
      <c r="J270" s="1544" t="s">
        <v>2331</v>
      </c>
      <c r="K270" s="1544"/>
      <c r="L270" s="1544"/>
      <c r="M270" s="1544"/>
      <c r="N270" s="1544"/>
      <c r="O270" s="1544"/>
    </row>
    <row r="271" spans="8:15">
      <c r="H271" s="1543" t="s">
        <v>2332</v>
      </c>
      <c r="I271" s="1544" t="s">
        <v>482</v>
      </c>
      <c r="J271" s="1544" t="s">
        <v>2333</v>
      </c>
      <c r="K271" s="1544"/>
      <c r="L271" s="1544"/>
      <c r="M271" s="1544"/>
      <c r="N271" s="1544"/>
      <c r="O271" s="1544"/>
    </row>
    <row r="272" spans="8:15">
      <c r="H272" s="1543" t="s">
        <v>2334</v>
      </c>
      <c r="I272" s="1544" t="s">
        <v>482</v>
      </c>
      <c r="J272" s="1544" t="s">
        <v>2335</v>
      </c>
      <c r="K272" s="1544"/>
      <c r="L272" s="1544"/>
      <c r="M272" s="1544"/>
      <c r="N272" s="1544"/>
      <c r="O272" s="1544"/>
    </row>
    <row r="273" spans="8:15">
      <c r="H273" s="1543" t="s">
        <v>2336</v>
      </c>
      <c r="I273" s="1544" t="s">
        <v>482</v>
      </c>
      <c r="J273" s="1544" t="s">
        <v>2337</v>
      </c>
      <c r="K273" s="1544"/>
      <c r="L273" s="1544"/>
      <c r="M273" s="1544"/>
      <c r="N273" s="1544"/>
      <c r="O273" s="1544"/>
    </row>
    <row r="274" spans="8:15">
      <c r="H274" s="1543" t="s">
        <v>2338</v>
      </c>
      <c r="I274" s="1544" t="s">
        <v>482</v>
      </c>
      <c r="J274" s="1544" t="s">
        <v>2339</v>
      </c>
      <c r="K274" s="1544"/>
      <c r="L274" s="1544"/>
      <c r="M274" s="1544"/>
      <c r="N274" s="1544"/>
      <c r="O274" s="1544"/>
    </row>
    <row r="275" spans="8:15">
      <c r="H275" s="1543" t="s">
        <v>2340</v>
      </c>
      <c r="I275" s="1544" t="s">
        <v>482</v>
      </c>
      <c r="J275" s="1544" t="s">
        <v>2341</v>
      </c>
      <c r="K275" s="1544"/>
      <c r="L275" s="1544"/>
      <c r="M275" s="1544"/>
      <c r="N275" s="1544"/>
      <c r="O275" s="1544"/>
    </row>
    <row r="276" spans="8:15">
      <c r="H276" s="1543" t="s">
        <v>2342</v>
      </c>
      <c r="I276" s="1544" t="s">
        <v>482</v>
      </c>
      <c r="J276" s="1544" t="s">
        <v>2343</v>
      </c>
      <c r="K276" s="1544"/>
      <c r="L276" s="1544"/>
      <c r="M276" s="1544"/>
      <c r="N276" s="1544"/>
      <c r="O276" s="1544"/>
    </row>
    <row r="277" spans="8:15">
      <c r="H277" s="1543" t="s">
        <v>2344</v>
      </c>
      <c r="I277" s="1544" t="s">
        <v>482</v>
      </c>
      <c r="J277" s="1544" t="s">
        <v>2345</v>
      </c>
      <c r="K277" s="1544"/>
      <c r="L277" s="1544"/>
      <c r="M277" s="1544"/>
      <c r="N277" s="1544"/>
      <c r="O277" s="1544"/>
    </row>
    <row r="278" spans="8:15">
      <c r="H278" s="1543" t="s">
        <v>2346</v>
      </c>
      <c r="I278" s="1544" t="s">
        <v>482</v>
      </c>
      <c r="J278" s="1544" t="s">
        <v>2347</v>
      </c>
      <c r="K278" s="1544"/>
      <c r="L278" s="1544"/>
      <c r="M278" s="1544"/>
      <c r="N278" s="1544"/>
      <c r="O278" s="1544"/>
    </row>
    <row r="279" spans="8:15">
      <c r="H279" s="1543" t="s">
        <v>2348</v>
      </c>
      <c r="I279" s="1544" t="s">
        <v>482</v>
      </c>
      <c r="J279" s="1544" t="s">
        <v>2349</v>
      </c>
      <c r="K279" s="1544"/>
      <c r="L279" s="1544"/>
      <c r="M279" s="1544"/>
      <c r="N279" s="1544"/>
      <c r="O279" s="1544"/>
    </row>
    <row r="280" spans="8:15">
      <c r="H280" s="1543" t="s">
        <v>2350</v>
      </c>
      <c r="I280" s="1544" t="s">
        <v>482</v>
      </c>
      <c r="J280" s="1544" t="s">
        <v>2351</v>
      </c>
      <c r="K280" s="1544"/>
      <c r="L280" s="1544"/>
      <c r="M280" s="1544"/>
      <c r="N280" s="1544"/>
      <c r="O280" s="1544"/>
    </row>
    <row r="281" spans="8:15">
      <c r="H281" s="1543" t="s">
        <v>2352</v>
      </c>
      <c r="I281" s="1544" t="s">
        <v>482</v>
      </c>
      <c r="J281" s="1544" t="s">
        <v>2353</v>
      </c>
      <c r="K281" s="1544"/>
      <c r="L281" s="1544"/>
      <c r="M281" s="1544"/>
      <c r="N281" s="1544"/>
      <c r="O281" s="1544"/>
    </row>
    <row r="282" spans="8:15">
      <c r="H282" s="1543" t="s">
        <v>2354</v>
      </c>
      <c r="I282" s="1544" t="s">
        <v>482</v>
      </c>
      <c r="J282" s="1544" t="s">
        <v>2355</v>
      </c>
      <c r="K282" s="1544"/>
      <c r="L282" s="1544"/>
      <c r="M282" s="1544"/>
      <c r="N282" s="1544"/>
      <c r="O282" s="1544"/>
    </row>
    <row r="283" spans="8:15">
      <c r="H283" s="1543" t="s">
        <v>2356</v>
      </c>
      <c r="I283" s="1544" t="s">
        <v>482</v>
      </c>
      <c r="J283" s="1544" t="s">
        <v>2357</v>
      </c>
      <c r="K283" s="1544"/>
      <c r="L283" s="1544"/>
      <c r="M283" s="1544"/>
      <c r="N283" s="1544"/>
      <c r="O283" s="1544"/>
    </row>
    <row r="284" spans="8:15">
      <c r="H284" s="1543" t="s">
        <v>2358</v>
      </c>
      <c r="I284" s="1544" t="s">
        <v>482</v>
      </c>
      <c r="J284" s="1544" t="s">
        <v>2359</v>
      </c>
      <c r="K284" s="1544"/>
      <c r="L284" s="1544"/>
      <c r="M284" s="1544"/>
      <c r="N284" s="1544"/>
      <c r="O284" s="1544"/>
    </row>
    <row r="285" spans="8:15">
      <c r="H285" s="1543" t="s">
        <v>2360</v>
      </c>
      <c r="I285" s="1544" t="s">
        <v>482</v>
      </c>
      <c r="J285" s="1544" t="s">
        <v>2361</v>
      </c>
      <c r="K285" s="1544"/>
      <c r="L285" s="1544"/>
      <c r="M285" s="1544"/>
      <c r="N285" s="1544"/>
      <c r="O285" s="1544"/>
    </row>
    <row r="286" spans="8:15">
      <c r="H286" s="1543" t="s">
        <v>2362</v>
      </c>
      <c r="I286" s="1544" t="s">
        <v>482</v>
      </c>
      <c r="J286" s="1544" t="s">
        <v>2363</v>
      </c>
      <c r="K286" s="1544"/>
      <c r="L286" s="1544"/>
      <c r="M286" s="1544"/>
      <c r="N286" s="1544"/>
      <c r="O286" s="1544"/>
    </row>
    <row r="287" spans="8:15">
      <c r="H287" s="1543" t="s">
        <v>2364</v>
      </c>
      <c r="I287" s="1544" t="s">
        <v>482</v>
      </c>
      <c r="J287" s="1544" t="s">
        <v>2365</v>
      </c>
      <c r="K287" s="1544"/>
      <c r="L287" s="1544"/>
      <c r="M287" s="1544"/>
      <c r="N287" s="1544"/>
      <c r="O287" s="1544"/>
    </row>
    <row r="288" spans="8:15">
      <c r="H288" s="1543" t="s">
        <v>2366</v>
      </c>
      <c r="I288" s="1544" t="s">
        <v>482</v>
      </c>
      <c r="J288" s="1544" t="s">
        <v>2367</v>
      </c>
      <c r="K288" s="1544"/>
      <c r="L288" s="1544"/>
      <c r="M288" s="1544"/>
      <c r="N288" s="1544"/>
      <c r="O288" s="1544"/>
    </row>
    <row r="289" spans="8:15">
      <c r="H289" s="1543" t="s">
        <v>2368</v>
      </c>
      <c r="I289" s="1544" t="s">
        <v>482</v>
      </c>
      <c r="J289" s="1544" t="s">
        <v>2369</v>
      </c>
      <c r="K289" s="1544"/>
      <c r="L289" s="1544"/>
      <c r="M289" s="1544"/>
      <c r="N289" s="1544"/>
      <c r="O289" s="1544"/>
    </row>
    <row r="290" spans="8:15">
      <c r="H290" s="1543" t="s">
        <v>2370</v>
      </c>
      <c r="I290" s="1544" t="s">
        <v>482</v>
      </c>
      <c r="J290" s="1544" t="s">
        <v>2371</v>
      </c>
      <c r="K290" s="1544"/>
      <c r="L290" s="1544"/>
      <c r="M290" s="1544"/>
      <c r="N290" s="1544"/>
      <c r="O290" s="1544"/>
    </row>
    <row r="291" spans="8:15">
      <c r="H291" s="1543" t="s">
        <v>2372</v>
      </c>
      <c r="I291" s="1544" t="s">
        <v>482</v>
      </c>
      <c r="J291" s="1544" t="s">
        <v>2373</v>
      </c>
      <c r="K291" s="1544"/>
      <c r="L291" s="1544"/>
      <c r="M291" s="1544"/>
      <c r="N291" s="1544"/>
      <c r="O291" s="1544"/>
    </row>
    <row r="292" spans="8:15">
      <c r="H292" s="1543" t="s">
        <v>2374</v>
      </c>
      <c r="I292" s="1544" t="s">
        <v>482</v>
      </c>
      <c r="J292" s="1544" t="s">
        <v>2375</v>
      </c>
      <c r="K292" s="1544"/>
      <c r="L292" s="1544"/>
      <c r="M292" s="1544"/>
      <c r="N292" s="1544"/>
      <c r="O292" s="1544"/>
    </row>
    <row r="293" spans="8:15">
      <c r="H293" s="1543" t="s">
        <v>2376</v>
      </c>
      <c r="I293" s="1544" t="s">
        <v>482</v>
      </c>
      <c r="J293" s="1544" t="s">
        <v>2377</v>
      </c>
      <c r="K293" s="1544"/>
      <c r="L293" s="1544"/>
      <c r="M293" s="1544"/>
      <c r="N293" s="1544"/>
      <c r="O293" s="1544"/>
    </row>
    <row r="294" spans="8:15">
      <c r="H294" s="1543" t="s">
        <v>2378</v>
      </c>
      <c r="I294" s="1544" t="s">
        <v>482</v>
      </c>
      <c r="J294" s="1544" t="s">
        <v>2379</v>
      </c>
      <c r="K294" s="1544"/>
      <c r="L294" s="1544"/>
      <c r="M294" s="1544"/>
      <c r="N294" s="1544"/>
      <c r="O294" s="1544"/>
    </row>
    <row r="295" spans="8:15">
      <c r="H295" s="1543" t="s">
        <v>2380</v>
      </c>
      <c r="I295" s="1544" t="s">
        <v>482</v>
      </c>
      <c r="J295" s="1544" t="s">
        <v>2381</v>
      </c>
      <c r="K295" s="1544"/>
      <c r="L295" s="1544"/>
      <c r="M295" s="1544"/>
      <c r="N295" s="1544"/>
      <c r="O295" s="1544"/>
    </row>
    <row r="296" spans="8:15">
      <c r="H296" s="1543" t="s">
        <v>2382</v>
      </c>
      <c r="I296" s="1544" t="s">
        <v>482</v>
      </c>
      <c r="J296" s="1544" t="s">
        <v>2383</v>
      </c>
      <c r="K296" s="1544"/>
      <c r="L296" s="1544"/>
      <c r="M296" s="1544"/>
      <c r="N296" s="1544"/>
      <c r="O296" s="1544"/>
    </row>
    <row r="297" spans="8:15">
      <c r="H297" s="1543" t="s">
        <v>2384</v>
      </c>
      <c r="I297" s="1544" t="s">
        <v>482</v>
      </c>
      <c r="J297" s="1544" t="s">
        <v>2385</v>
      </c>
      <c r="K297" s="1544"/>
      <c r="L297" s="1544"/>
      <c r="M297" s="1544"/>
      <c r="N297" s="1544"/>
      <c r="O297" s="1544"/>
    </row>
    <row r="298" spans="8:15">
      <c r="H298" s="1543" t="s">
        <v>2386</v>
      </c>
      <c r="I298" s="1544" t="s">
        <v>482</v>
      </c>
      <c r="J298" s="1544" t="s">
        <v>2387</v>
      </c>
      <c r="K298" s="1544"/>
      <c r="L298" s="1544"/>
      <c r="M298" s="1544"/>
      <c r="N298" s="1544"/>
      <c r="O298" s="1544"/>
    </row>
    <row r="299" spans="8:15">
      <c r="H299" s="1543" t="s">
        <v>2388</v>
      </c>
      <c r="I299" s="1544" t="s">
        <v>482</v>
      </c>
      <c r="J299" s="1544" t="s">
        <v>2389</v>
      </c>
      <c r="K299" s="1544"/>
      <c r="L299" s="1544"/>
      <c r="M299" s="1544"/>
      <c r="N299" s="1544"/>
      <c r="O299" s="1544"/>
    </row>
    <row r="300" spans="8:15">
      <c r="H300" s="1543" t="s">
        <v>2390</v>
      </c>
      <c r="I300" s="1544" t="s">
        <v>482</v>
      </c>
      <c r="J300" s="1544" t="s">
        <v>2391</v>
      </c>
      <c r="K300" s="1544"/>
      <c r="L300" s="1544"/>
      <c r="M300" s="1544"/>
      <c r="N300" s="1544"/>
      <c r="O300" s="1544"/>
    </row>
    <row r="301" spans="8:15">
      <c r="H301" s="1543" t="s">
        <v>2392</v>
      </c>
      <c r="I301" s="1544" t="s">
        <v>482</v>
      </c>
      <c r="J301" s="1544" t="s">
        <v>2393</v>
      </c>
      <c r="K301" s="1544"/>
      <c r="L301" s="1544"/>
      <c r="M301" s="1544"/>
      <c r="N301" s="1544"/>
      <c r="O301" s="1544"/>
    </row>
    <row r="302" spans="8:15">
      <c r="H302" s="1543" t="s">
        <v>2394</v>
      </c>
      <c r="I302" s="1544" t="s">
        <v>483</v>
      </c>
      <c r="J302" s="1544"/>
      <c r="K302" s="1544">
        <f>ROW()</f>
        <v>302</v>
      </c>
      <c r="L302" s="1544">
        <f>K302+COUNTIF($I$122:$I$1909,I302)-1</f>
        <v>342</v>
      </c>
      <c r="M302" s="1544"/>
      <c r="N302" s="1544"/>
      <c r="O302" s="1544"/>
    </row>
    <row r="303" spans="8:15">
      <c r="H303" s="1543" t="s">
        <v>1273</v>
      </c>
      <c r="I303" s="1544" t="s">
        <v>483</v>
      </c>
      <c r="J303" s="1544" t="s">
        <v>1272</v>
      </c>
      <c r="K303" s="1544"/>
      <c r="L303" s="1544"/>
      <c r="M303" s="1544"/>
      <c r="N303" s="1544"/>
      <c r="O303" s="1544"/>
    </row>
    <row r="304" spans="8:15">
      <c r="H304" s="1543" t="s">
        <v>2395</v>
      </c>
      <c r="I304" s="1544" t="s">
        <v>483</v>
      </c>
      <c r="J304" s="1544" t="s">
        <v>2396</v>
      </c>
      <c r="K304" s="1544"/>
      <c r="L304" s="1544"/>
      <c r="M304" s="1544"/>
      <c r="N304" s="1544"/>
      <c r="O304" s="1544"/>
    </row>
    <row r="305" spans="8:15">
      <c r="H305" s="1543" t="s">
        <v>1359</v>
      </c>
      <c r="I305" s="1544" t="s">
        <v>483</v>
      </c>
      <c r="J305" s="1544" t="s">
        <v>1358</v>
      </c>
      <c r="K305" s="1544"/>
      <c r="L305" s="1544"/>
      <c r="M305" s="1544"/>
      <c r="N305" s="1544"/>
      <c r="O305" s="1544"/>
    </row>
    <row r="306" spans="8:15">
      <c r="H306" s="1543" t="s">
        <v>2397</v>
      </c>
      <c r="I306" s="1544" t="s">
        <v>483</v>
      </c>
      <c r="J306" s="1544" t="s">
        <v>2398</v>
      </c>
      <c r="K306" s="1544"/>
      <c r="L306" s="1544"/>
      <c r="M306" s="1544"/>
      <c r="N306" s="1544"/>
      <c r="O306" s="1544"/>
    </row>
    <row r="307" spans="8:15">
      <c r="H307" s="1543" t="s">
        <v>2399</v>
      </c>
      <c r="I307" s="1544" t="s">
        <v>483</v>
      </c>
      <c r="J307" s="1544" t="s">
        <v>2400</v>
      </c>
      <c r="K307" s="1544"/>
      <c r="L307" s="1544"/>
      <c r="M307" s="1544"/>
      <c r="N307" s="1544"/>
      <c r="O307" s="1544"/>
    </row>
    <row r="308" spans="8:15">
      <c r="H308" s="1543" t="s">
        <v>2401</v>
      </c>
      <c r="I308" s="1544" t="s">
        <v>483</v>
      </c>
      <c r="J308" s="1544" t="s">
        <v>2402</v>
      </c>
      <c r="K308" s="1544"/>
      <c r="L308" s="1544"/>
      <c r="M308" s="1544"/>
      <c r="N308" s="1544"/>
      <c r="O308" s="1544"/>
    </row>
    <row r="309" spans="8:15">
      <c r="H309" s="1543" t="s">
        <v>2403</v>
      </c>
      <c r="I309" s="1544" t="s">
        <v>483</v>
      </c>
      <c r="J309" s="1544" t="s">
        <v>2404</v>
      </c>
      <c r="K309" s="1544"/>
      <c r="L309" s="1544"/>
      <c r="M309" s="1544"/>
      <c r="N309" s="1544"/>
      <c r="O309" s="1544"/>
    </row>
    <row r="310" spans="8:15">
      <c r="H310" s="1543" t="s">
        <v>2405</v>
      </c>
      <c r="I310" s="1544" t="s">
        <v>483</v>
      </c>
      <c r="J310" s="1544" t="s">
        <v>2406</v>
      </c>
      <c r="K310" s="1544"/>
      <c r="L310" s="1544"/>
      <c r="M310" s="1544"/>
      <c r="N310" s="1544"/>
      <c r="O310" s="1544"/>
    </row>
    <row r="311" spans="8:15">
      <c r="H311" s="1543" t="s">
        <v>2407</v>
      </c>
      <c r="I311" s="1544" t="s">
        <v>483</v>
      </c>
      <c r="J311" s="1544" t="s">
        <v>2408</v>
      </c>
      <c r="K311" s="1544"/>
      <c r="L311" s="1544"/>
      <c r="M311" s="1544"/>
      <c r="N311" s="1544"/>
      <c r="O311" s="1544"/>
    </row>
    <row r="312" spans="8:15">
      <c r="H312" s="1543" t="s">
        <v>2409</v>
      </c>
      <c r="I312" s="1544" t="s">
        <v>483</v>
      </c>
      <c r="J312" s="1544" t="s">
        <v>2410</v>
      </c>
      <c r="K312" s="1544"/>
      <c r="L312" s="1544"/>
      <c r="M312" s="1544"/>
      <c r="N312" s="1544"/>
      <c r="O312" s="1544"/>
    </row>
    <row r="313" spans="8:15">
      <c r="H313" s="1543" t="s">
        <v>2411</v>
      </c>
      <c r="I313" s="1544" t="s">
        <v>483</v>
      </c>
      <c r="J313" s="1544" t="s">
        <v>2412</v>
      </c>
      <c r="K313" s="1544"/>
      <c r="L313" s="1544"/>
      <c r="M313" s="1544"/>
      <c r="N313" s="1544"/>
      <c r="O313" s="1544"/>
    </row>
    <row r="314" spans="8:15">
      <c r="H314" s="1543" t="s">
        <v>2413</v>
      </c>
      <c r="I314" s="1544" t="s">
        <v>483</v>
      </c>
      <c r="J314" s="1544" t="s">
        <v>2414</v>
      </c>
      <c r="K314" s="1544"/>
      <c r="L314" s="1544"/>
      <c r="M314" s="1544"/>
      <c r="N314" s="1544"/>
      <c r="O314" s="1544"/>
    </row>
    <row r="315" spans="8:15">
      <c r="H315" s="1543" t="s">
        <v>2415</v>
      </c>
      <c r="I315" s="1544" t="s">
        <v>483</v>
      </c>
      <c r="J315" s="1544" t="s">
        <v>2416</v>
      </c>
      <c r="K315" s="1544"/>
      <c r="L315" s="1544"/>
      <c r="M315" s="1544"/>
      <c r="N315" s="1544"/>
      <c r="O315" s="1544"/>
    </row>
    <row r="316" spans="8:15">
      <c r="H316" s="1543" t="s">
        <v>2417</v>
      </c>
      <c r="I316" s="1544" t="s">
        <v>483</v>
      </c>
      <c r="J316" s="1544" t="s">
        <v>2418</v>
      </c>
      <c r="K316" s="1544"/>
      <c r="L316" s="1544"/>
      <c r="M316" s="1544"/>
      <c r="N316" s="1544"/>
      <c r="O316" s="1544"/>
    </row>
    <row r="317" spans="8:15">
      <c r="H317" s="1543" t="s">
        <v>2419</v>
      </c>
      <c r="I317" s="1544" t="s">
        <v>483</v>
      </c>
      <c r="J317" s="1544" t="s">
        <v>2420</v>
      </c>
      <c r="K317" s="1544"/>
      <c r="L317" s="1544"/>
      <c r="M317" s="1544"/>
      <c r="N317" s="1544"/>
      <c r="O317" s="1544"/>
    </row>
    <row r="318" spans="8:15">
      <c r="H318" s="1543" t="s">
        <v>2421</v>
      </c>
      <c r="I318" s="1544" t="s">
        <v>483</v>
      </c>
      <c r="J318" s="1544" t="s">
        <v>2422</v>
      </c>
      <c r="K318" s="1544"/>
      <c r="L318" s="1544"/>
      <c r="M318" s="1544"/>
      <c r="N318" s="1544"/>
      <c r="O318" s="1544"/>
    </row>
    <row r="319" spans="8:15">
      <c r="H319" s="1543" t="s">
        <v>2423</v>
      </c>
      <c r="I319" s="1544" t="s">
        <v>483</v>
      </c>
      <c r="J319" s="1544" t="s">
        <v>2424</v>
      </c>
      <c r="K319" s="1544"/>
      <c r="L319" s="1544"/>
      <c r="M319" s="1544"/>
      <c r="N319" s="1544"/>
      <c r="O319" s="1544"/>
    </row>
    <row r="320" spans="8:15">
      <c r="H320" s="1543" t="s">
        <v>2425</v>
      </c>
      <c r="I320" s="1544" t="s">
        <v>483</v>
      </c>
      <c r="J320" s="1544" t="s">
        <v>2426</v>
      </c>
      <c r="K320" s="1544"/>
      <c r="L320" s="1544"/>
      <c r="M320" s="1544"/>
      <c r="N320" s="1544"/>
      <c r="O320" s="1544"/>
    </row>
    <row r="321" spans="8:15">
      <c r="H321" s="1543" t="s">
        <v>2427</v>
      </c>
      <c r="I321" s="1544" t="s">
        <v>483</v>
      </c>
      <c r="J321" s="1544" t="s">
        <v>2428</v>
      </c>
      <c r="K321" s="1544"/>
      <c r="L321" s="1544"/>
      <c r="M321" s="1544"/>
      <c r="N321" s="1544"/>
      <c r="O321" s="1544"/>
    </row>
    <row r="322" spans="8:15">
      <c r="H322" s="1543" t="s">
        <v>2429</v>
      </c>
      <c r="I322" s="1544" t="s">
        <v>483</v>
      </c>
      <c r="J322" s="1544" t="s">
        <v>2430</v>
      </c>
      <c r="K322" s="1544"/>
      <c r="L322" s="1544"/>
      <c r="M322" s="1544"/>
      <c r="N322" s="1544"/>
      <c r="O322" s="1544"/>
    </row>
    <row r="323" spans="8:15">
      <c r="H323" s="1543" t="s">
        <v>2431</v>
      </c>
      <c r="I323" s="1544" t="s">
        <v>483</v>
      </c>
      <c r="J323" s="1544" t="s">
        <v>2432</v>
      </c>
      <c r="K323" s="1544"/>
      <c r="L323" s="1544"/>
      <c r="M323" s="1544"/>
      <c r="N323" s="1544"/>
      <c r="O323" s="1544"/>
    </row>
    <row r="324" spans="8:15">
      <c r="H324" s="1543" t="s">
        <v>2433</v>
      </c>
      <c r="I324" s="1544" t="s">
        <v>483</v>
      </c>
      <c r="J324" s="1544" t="s">
        <v>2434</v>
      </c>
      <c r="K324" s="1544"/>
      <c r="L324" s="1544"/>
      <c r="M324" s="1544"/>
      <c r="N324" s="1544"/>
      <c r="O324" s="1544"/>
    </row>
    <row r="325" spans="8:15">
      <c r="H325" s="1543" t="s">
        <v>2435</v>
      </c>
      <c r="I325" s="1544" t="s">
        <v>483</v>
      </c>
      <c r="J325" s="1544" t="s">
        <v>2436</v>
      </c>
      <c r="K325" s="1544"/>
      <c r="L325" s="1544"/>
      <c r="M325" s="1544"/>
      <c r="N325" s="1544"/>
      <c r="O325" s="1544"/>
    </row>
    <row r="326" spans="8:15">
      <c r="H326" s="1543" t="s">
        <v>2437</v>
      </c>
      <c r="I326" s="1544" t="s">
        <v>483</v>
      </c>
      <c r="J326" s="1544" t="s">
        <v>2438</v>
      </c>
      <c r="K326" s="1544"/>
      <c r="L326" s="1544"/>
      <c r="M326" s="1544"/>
      <c r="N326" s="1544"/>
      <c r="O326" s="1544"/>
    </row>
    <row r="327" spans="8:15">
      <c r="H327" s="1543" t="s">
        <v>2439</v>
      </c>
      <c r="I327" s="1544" t="s">
        <v>483</v>
      </c>
      <c r="J327" s="1544" t="s">
        <v>2440</v>
      </c>
      <c r="K327" s="1544"/>
      <c r="L327" s="1544"/>
      <c r="M327" s="1544"/>
      <c r="N327" s="1544"/>
      <c r="O327" s="1544"/>
    </row>
    <row r="328" spans="8:15">
      <c r="H328" s="1543" t="s">
        <v>2441</v>
      </c>
      <c r="I328" s="1544" t="s">
        <v>483</v>
      </c>
      <c r="J328" s="1544" t="s">
        <v>2442</v>
      </c>
      <c r="K328" s="1544"/>
      <c r="L328" s="1544"/>
      <c r="M328" s="1544"/>
      <c r="N328" s="1544"/>
      <c r="O328" s="1544"/>
    </row>
    <row r="329" spans="8:15">
      <c r="H329" s="1543" t="s">
        <v>2443</v>
      </c>
      <c r="I329" s="1544" t="s">
        <v>483</v>
      </c>
      <c r="J329" s="1544" t="s">
        <v>2444</v>
      </c>
      <c r="K329" s="1544"/>
      <c r="L329" s="1544"/>
      <c r="M329" s="1544"/>
      <c r="N329" s="1544"/>
      <c r="O329" s="1544"/>
    </row>
    <row r="330" spans="8:15">
      <c r="H330" s="1543" t="s">
        <v>2445</v>
      </c>
      <c r="I330" s="1544" t="s">
        <v>483</v>
      </c>
      <c r="J330" s="1544" t="s">
        <v>2446</v>
      </c>
      <c r="K330" s="1544"/>
      <c r="L330" s="1544"/>
      <c r="M330" s="1544"/>
      <c r="N330" s="1544"/>
      <c r="O330" s="1544"/>
    </row>
    <row r="331" spans="8:15">
      <c r="H331" s="1543" t="s">
        <v>2447</v>
      </c>
      <c r="I331" s="1544" t="s">
        <v>483</v>
      </c>
      <c r="J331" s="1544" t="s">
        <v>2448</v>
      </c>
      <c r="K331" s="1544"/>
      <c r="L331" s="1544"/>
      <c r="M331" s="1544"/>
      <c r="N331" s="1544"/>
      <c r="O331" s="1544"/>
    </row>
    <row r="332" spans="8:15">
      <c r="H332" s="1543" t="s">
        <v>2449</v>
      </c>
      <c r="I332" s="1544" t="s">
        <v>483</v>
      </c>
      <c r="J332" s="1544" t="s">
        <v>2450</v>
      </c>
      <c r="K332" s="1544"/>
      <c r="L332" s="1544"/>
      <c r="M332" s="1544"/>
      <c r="N332" s="1544"/>
      <c r="O332" s="1544"/>
    </row>
    <row r="333" spans="8:15">
      <c r="H333" s="1543" t="s">
        <v>2451</v>
      </c>
      <c r="I333" s="1544" t="s">
        <v>483</v>
      </c>
      <c r="J333" s="1544" t="s">
        <v>2452</v>
      </c>
      <c r="K333" s="1544"/>
      <c r="L333" s="1544"/>
      <c r="M333" s="1544"/>
      <c r="N333" s="1544"/>
      <c r="O333" s="1544"/>
    </row>
    <row r="334" spans="8:15">
      <c r="H334" s="1543" t="s">
        <v>2453</v>
      </c>
      <c r="I334" s="1544" t="s">
        <v>483</v>
      </c>
      <c r="J334" s="1544" t="s">
        <v>2454</v>
      </c>
      <c r="K334" s="1544"/>
      <c r="L334" s="1544"/>
      <c r="M334" s="1544"/>
      <c r="N334" s="1544"/>
      <c r="O334" s="1544"/>
    </row>
    <row r="335" spans="8:15">
      <c r="H335" s="1543" t="s">
        <v>2455</v>
      </c>
      <c r="I335" s="1544" t="s">
        <v>483</v>
      </c>
      <c r="J335" s="1544" t="s">
        <v>2456</v>
      </c>
      <c r="K335" s="1544"/>
      <c r="L335" s="1544"/>
      <c r="M335" s="1544"/>
      <c r="N335" s="1544"/>
      <c r="O335" s="1544"/>
    </row>
    <row r="336" spans="8:15">
      <c r="H336" s="1543" t="s">
        <v>2457</v>
      </c>
      <c r="I336" s="1544" t="s">
        <v>483</v>
      </c>
      <c r="J336" s="1544" t="s">
        <v>2458</v>
      </c>
      <c r="K336" s="1544"/>
      <c r="L336" s="1544"/>
      <c r="M336" s="1544"/>
      <c r="N336" s="1544"/>
      <c r="O336" s="1544"/>
    </row>
    <row r="337" spans="8:15">
      <c r="H337" s="1543" t="s">
        <v>2459</v>
      </c>
      <c r="I337" s="1544" t="s">
        <v>483</v>
      </c>
      <c r="J337" s="1544" t="s">
        <v>2460</v>
      </c>
      <c r="K337" s="1544"/>
      <c r="L337" s="1544"/>
      <c r="M337" s="1544"/>
      <c r="N337" s="1544"/>
      <c r="O337" s="1544"/>
    </row>
    <row r="338" spans="8:15">
      <c r="H338" s="1543" t="s">
        <v>2461</v>
      </c>
      <c r="I338" s="1544" t="s">
        <v>483</v>
      </c>
      <c r="J338" s="1544" t="s">
        <v>2462</v>
      </c>
      <c r="K338" s="1544"/>
      <c r="L338" s="1544"/>
      <c r="M338" s="1544"/>
      <c r="N338" s="1544"/>
      <c r="O338" s="1544"/>
    </row>
    <row r="339" spans="8:15">
      <c r="H339" s="1543" t="s">
        <v>2463</v>
      </c>
      <c r="I339" s="1544" t="s">
        <v>483</v>
      </c>
      <c r="J339" s="1544" t="s">
        <v>2464</v>
      </c>
      <c r="K339" s="1544"/>
      <c r="L339" s="1544"/>
      <c r="M339" s="1544"/>
      <c r="N339" s="1544"/>
      <c r="O339" s="1544"/>
    </row>
    <row r="340" spans="8:15">
      <c r="H340" s="1543" t="s">
        <v>2465</v>
      </c>
      <c r="I340" s="1544" t="s">
        <v>483</v>
      </c>
      <c r="J340" s="1544" t="s">
        <v>2466</v>
      </c>
      <c r="K340" s="1544"/>
      <c r="L340" s="1544"/>
      <c r="M340" s="1544"/>
      <c r="N340" s="1544"/>
      <c r="O340" s="1544"/>
    </row>
    <row r="341" spans="8:15">
      <c r="H341" s="1543" t="s">
        <v>2467</v>
      </c>
      <c r="I341" s="1544" t="s">
        <v>483</v>
      </c>
      <c r="J341" s="1544" t="s">
        <v>2468</v>
      </c>
      <c r="K341" s="1544"/>
      <c r="L341" s="1544"/>
      <c r="M341" s="1544"/>
      <c r="N341" s="1544"/>
      <c r="O341" s="1544"/>
    </row>
    <row r="342" spans="8:15">
      <c r="H342" s="1543" t="s">
        <v>2469</v>
      </c>
      <c r="I342" s="1544" t="s">
        <v>483</v>
      </c>
      <c r="J342" s="1544" t="s">
        <v>2470</v>
      </c>
      <c r="K342" s="1544"/>
      <c r="L342" s="1544"/>
      <c r="M342" s="1544"/>
      <c r="N342" s="1544"/>
      <c r="O342" s="1544"/>
    </row>
    <row r="343" spans="8:15">
      <c r="H343" s="1543" t="s">
        <v>2471</v>
      </c>
      <c r="I343" s="1544" t="s">
        <v>484</v>
      </c>
      <c r="J343" s="1544"/>
      <c r="K343" s="1544">
        <f>ROW()</f>
        <v>343</v>
      </c>
      <c r="L343" s="1544">
        <f>K343+COUNTIF($I$122:$I$1909,I343)-1</f>
        <v>376</v>
      </c>
      <c r="M343" s="1544"/>
      <c r="N343" s="1544"/>
      <c r="O343" s="1544"/>
    </row>
    <row r="344" spans="8:15">
      <c r="H344" s="1543" t="s">
        <v>1275</v>
      </c>
      <c r="I344" s="1544" t="s">
        <v>484</v>
      </c>
      <c r="J344" s="1544" t="s">
        <v>1274</v>
      </c>
      <c r="K344" s="1544"/>
      <c r="L344" s="1544"/>
      <c r="M344" s="1544"/>
      <c r="N344" s="1544"/>
      <c r="O344" s="1544"/>
    </row>
    <row r="345" spans="8:15">
      <c r="H345" s="1543" t="s">
        <v>2472</v>
      </c>
      <c r="I345" s="1544" t="s">
        <v>484</v>
      </c>
      <c r="J345" s="1544" t="s">
        <v>2473</v>
      </c>
      <c r="K345" s="1544"/>
      <c r="L345" s="1544"/>
      <c r="M345" s="1544"/>
      <c r="N345" s="1544"/>
      <c r="O345" s="1544"/>
    </row>
    <row r="346" spans="8:15">
      <c r="H346" s="1543" t="s">
        <v>2474</v>
      </c>
      <c r="I346" s="1544" t="s">
        <v>484</v>
      </c>
      <c r="J346" s="1544" t="s">
        <v>2475</v>
      </c>
      <c r="K346" s="1544"/>
      <c r="L346" s="1544"/>
      <c r="M346" s="1544"/>
      <c r="N346" s="1544"/>
      <c r="O346" s="1544"/>
    </row>
    <row r="347" spans="8:15">
      <c r="H347" s="1543" t="s">
        <v>2476</v>
      </c>
      <c r="I347" s="1544" t="s">
        <v>484</v>
      </c>
      <c r="J347" s="1544" t="s">
        <v>2477</v>
      </c>
      <c r="K347" s="1544"/>
      <c r="L347" s="1544"/>
      <c r="M347" s="1544"/>
      <c r="N347" s="1544"/>
      <c r="O347" s="1544"/>
    </row>
    <row r="348" spans="8:15">
      <c r="H348" s="1543" t="s">
        <v>2478</v>
      </c>
      <c r="I348" s="1544" t="s">
        <v>484</v>
      </c>
      <c r="J348" s="1544" t="s">
        <v>2479</v>
      </c>
      <c r="K348" s="1544"/>
      <c r="L348" s="1544"/>
      <c r="M348" s="1544"/>
      <c r="N348" s="1544"/>
      <c r="O348" s="1544"/>
    </row>
    <row r="349" spans="8:15">
      <c r="H349" s="1543" t="s">
        <v>2480</v>
      </c>
      <c r="I349" s="1544" t="s">
        <v>484</v>
      </c>
      <c r="J349" s="1544" t="s">
        <v>2481</v>
      </c>
      <c r="K349" s="1544"/>
      <c r="L349" s="1544"/>
      <c r="M349" s="1544"/>
      <c r="N349" s="1544"/>
      <c r="O349" s="1544"/>
    </row>
    <row r="350" spans="8:15">
      <c r="H350" s="1543" t="s">
        <v>2482</v>
      </c>
      <c r="I350" s="1544" t="s">
        <v>484</v>
      </c>
      <c r="J350" s="1544" t="s">
        <v>2483</v>
      </c>
      <c r="K350" s="1544"/>
      <c r="L350" s="1544"/>
      <c r="M350" s="1544"/>
      <c r="N350" s="1544"/>
      <c r="O350" s="1544"/>
    </row>
    <row r="351" spans="8:15">
      <c r="H351" s="1543" t="s">
        <v>2484</v>
      </c>
      <c r="I351" s="1544" t="s">
        <v>484</v>
      </c>
      <c r="J351" s="1544" t="s">
        <v>2485</v>
      </c>
      <c r="K351" s="1544"/>
      <c r="L351" s="1544"/>
      <c r="M351" s="1544"/>
      <c r="N351" s="1544"/>
      <c r="O351" s="1544"/>
    </row>
    <row r="352" spans="8:15">
      <c r="H352" s="1543" t="s">
        <v>2486</v>
      </c>
      <c r="I352" s="1544" t="s">
        <v>484</v>
      </c>
      <c r="J352" s="1544" t="s">
        <v>2487</v>
      </c>
      <c r="K352" s="1544"/>
      <c r="L352" s="1544"/>
      <c r="M352" s="1544"/>
      <c r="N352" s="1544"/>
      <c r="O352" s="1544"/>
    </row>
    <row r="353" spans="8:15">
      <c r="H353" s="1543" t="s">
        <v>2488</v>
      </c>
      <c r="I353" s="1544" t="s">
        <v>484</v>
      </c>
      <c r="J353" s="1544" t="s">
        <v>2489</v>
      </c>
      <c r="K353" s="1544"/>
      <c r="L353" s="1544"/>
      <c r="M353" s="1544"/>
      <c r="N353" s="1544"/>
      <c r="O353" s="1544"/>
    </row>
    <row r="354" spans="8:15">
      <c r="H354" s="1543" t="s">
        <v>2490</v>
      </c>
      <c r="I354" s="1544" t="s">
        <v>484</v>
      </c>
      <c r="J354" s="1544" t="s">
        <v>2491</v>
      </c>
      <c r="K354" s="1544"/>
      <c r="L354" s="1544"/>
      <c r="M354" s="1544"/>
      <c r="N354" s="1544"/>
      <c r="O354" s="1544"/>
    </row>
    <row r="355" spans="8:15">
      <c r="H355" s="1543" t="s">
        <v>2492</v>
      </c>
      <c r="I355" s="1544" t="s">
        <v>484</v>
      </c>
      <c r="J355" s="1544" t="s">
        <v>2493</v>
      </c>
      <c r="K355" s="1544"/>
      <c r="L355" s="1544"/>
      <c r="M355" s="1544"/>
      <c r="N355" s="1544"/>
      <c r="O355" s="1544"/>
    </row>
    <row r="356" spans="8:15">
      <c r="H356" s="1543" t="s">
        <v>2494</v>
      </c>
      <c r="I356" s="1544" t="s">
        <v>484</v>
      </c>
      <c r="J356" s="1544" t="s">
        <v>2495</v>
      </c>
      <c r="K356" s="1544"/>
      <c r="L356" s="1544"/>
      <c r="M356" s="1544"/>
      <c r="N356" s="1544"/>
      <c r="O356" s="1544"/>
    </row>
    <row r="357" spans="8:15">
      <c r="H357" s="1543" t="s">
        <v>2496</v>
      </c>
      <c r="I357" s="1544" t="s">
        <v>484</v>
      </c>
      <c r="J357" s="1544" t="s">
        <v>2497</v>
      </c>
      <c r="K357" s="1544"/>
      <c r="L357" s="1544"/>
      <c r="M357" s="1544"/>
      <c r="N357" s="1544"/>
      <c r="O357" s="1544"/>
    </row>
    <row r="358" spans="8:15">
      <c r="H358" s="1543" t="s">
        <v>2498</v>
      </c>
      <c r="I358" s="1544" t="s">
        <v>484</v>
      </c>
      <c r="J358" s="1544" t="s">
        <v>2499</v>
      </c>
      <c r="K358" s="1544"/>
      <c r="L358" s="1544"/>
      <c r="M358" s="1544"/>
      <c r="N358" s="1544"/>
      <c r="O358" s="1544"/>
    </row>
    <row r="359" spans="8:15">
      <c r="H359" s="1543" t="s">
        <v>2500</v>
      </c>
      <c r="I359" s="1544" t="s">
        <v>484</v>
      </c>
      <c r="J359" s="1544" t="s">
        <v>2501</v>
      </c>
      <c r="K359" s="1544"/>
      <c r="L359" s="1544"/>
      <c r="M359" s="1544"/>
      <c r="N359" s="1544"/>
      <c r="O359" s="1544"/>
    </row>
    <row r="360" spans="8:15">
      <c r="H360" s="1543" t="s">
        <v>2502</v>
      </c>
      <c r="I360" s="1544" t="s">
        <v>484</v>
      </c>
      <c r="J360" s="1544" t="s">
        <v>2503</v>
      </c>
      <c r="K360" s="1544"/>
      <c r="L360" s="1544"/>
      <c r="M360" s="1544"/>
      <c r="N360" s="1544"/>
      <c r="O360" s="1544"/>
    </row>
    <row r="361" spans="8:15">
      <c r="H361" s="1543" t="s">
        <v>2504</v>
      </c>
      <c r="I361" s="1544" t="s">
        <v>484</v>
      </c>
      <c r="J361" s="1544" t="s">
        <v>2505</v>
      </c>
      <c r="K361" s="1544"/>
      <c r="L361" s="1544"/>
      <c r="M361" s="1544"/>
      <c r="N361" s="1544"/>
      <c r="O361" s="1544"/>
    </row>
    <row r="362" spans="8:15">
      <c r="H362" s="1543" t="s">
        <v>2506</v>
      </c>
      <c r="I362" s="1544" t="s">
        <v>484</v>
      </c>
      <c r="J362" s="1544" t="s">
        <v>2507</v>
      </c>
      <c r="K362" s="1544"/>
      <c r="L362" s="1544"/>
      <c r="M362" s="1544"/>
      <c r="N362" s="1544"/>
      <c r="O362" s="1544"/>
    </row>
    <row r="363" spans="8:15">
      <c r="H363" s="1543" t="s">
        <v>2508</v>
      </c>
      <c r="I363" s="1544" t="s">
        <v>484</v>
      </c>
      <c r="J363" s="1544" t="s">
        <v>2509</v>
      </c>
      <c r="K363" s="1544"/>
      <c r="L363" s="1544"/>
      <c r="M363" s="1544"/>
      <c r="N363" s="1544"/>
      <c r="O363" s="1544"/>
    </row>
    <row r="364" spans="8:15">
      <c r="H364" s="1543" t="s">
        <v>2510</v>
      </c>
      <c r="I364" s="1544" t="s">
        <v>484</v>
      </c>
      <c r="J364" s="1544" t="s">
        <v>2511</v>
      </c>
      <c r="K364" s="1544"/>
      <c r="L364" s="1544"/>
      <c r="M364" s="1544"/>
      <c r="N364" s="1544"/>
      <c r="O364" s="1544"/>
    </row>
    <row r="365" spans="8:15">
      <c r="H365" s="1543" t="s">
        <v>2512</v>
      </c>
      <c r="I365" s="1544" t="s">
        <v>484</v>
      </c>
      <c r="J365" s="1544" t="s">
        <v>2513</v>
      </c>
      <c r="K365" s="1544"/>
      <c r="L365" s="1544"/>
      <c r="M365" s="1544"/>
      <c r="N365" s="1544"/>
      <c r="O365" s="1544"/>
    </row>
    <row r="366" spans="8:15">
      <c r="H366" s="1543" t="s">
        <v>2514</v>
      </c>
      <c r="I366" s="1544" t="s">
        <v>484</v>
      </c>
      <c r="J366" s="1544" t="s">
        <v>2515</v>
      </c>
      <c r="K366" s="1544"/>
      <c r="L366" s="1544"/>
      <c r="M366" s="1544"/>
      <c r="N366" s="1544"/>
      <c r="O366" s="1544"/>
    </row>
    <row r="367" spans="8:15">
      <c r="H367" s="1543" t="s">
        <v>2516</v>
      </c>
      <c r="I367" s="1544" t="s">
        <v>484</v>
      </c>
      <c r="J367" s="1544" t="s">
        <v>2517</v>
      </c>
      <c r="K367" s="1544"/>
      <c r="L367" s="1544"/>
      <c r="M367" s="1544"/>
      <c r="N367" s="1544"/>
      <c r="O367" s="1544"/>
    </row>
    <row r="368" spans="8:15">
      <c r="H368" s="1543" t="s">
        <v>2518</v>
      </c>
      <c r="I368" s="1544" t="s">
        <v>484</v>
      </c>
      <c r="J368" s="1544" t="s">
        <v>2519</v>
      </c>
      <c r="K368" s="1544"/>
      <c r="L368" s="1544"/>
      <c r="M368" s="1544"/>
      <c r="N368" s="1544"/>
      <c r="O368" s="1544"/>
    </row>
    <row r="369" spans="8:15">
      <c r="H369" s="1543" t="s">
        <v>2520</v>
      </c>
      <c r="I369" s="1544" t="s">
        <v>484</v>
      </c>
      <c r="J369" s="1544" t="s">
        <v>2521</v>
      </c>
      <c r="K369" s="1544"/>
      <c r="L369" s="1544"/>
      <c r="M369" s="1544"/>
      <c r="N369" s="1544"/>
      <c r="O369" s="1544"/>
    </row>
    <row r="370" spans="8:15">
      <c r="H370" s="1543" t="s">
        <v>2522</v>
      </c>
      <c r="I370" s="1544" t="s">
        <v>484</v>
      </c>
      <c r="J370" s="1544" t="s">
        <v>2523</v>
      </c>
      <c r="K370" s="1544"/>
      <c r="L370" s="1544"/>
      <c r="M370" s="1544"/>
      <c r="N370" s="1544"/>
      <c r="O370" s="1544"/>
    </row>
    <row r="371" spans="8:15">
      <c r="H371" s="1543" t="s">
        <v>2524</v>
      </c>
      <c r="I371" s="1544" t="s">
        <v>484</v>
      </c>
      <c r="J371" s="1544" t="s">
        <v>2525</v>
      </c>
      <c r="K371" s="1544"/>
      <c r="L371" s="1544"/>
      <c r="M371" s="1544"/>
      <c r="N371" s="1544"/>
      <c r="O371" s="1544"/>
    </row>
    <row r="372" spans="8:15">
      <c r="H372" s="1543" t="s">
        <v>2526</v>
      </c>
      <c r="I372" s="1544" t="s">
        <v>484</v>
      </c>
      <c r="J372" s="1544" t="s">
        <v>2527</v>
      </c>
      <c r="K372" s="1544"/>
      <c r="L372" s="1544"/>
      <c r="M372" s="1544"/>
      <c r="N372" s="1544"/>
      <c r="O372" s="1544"/>
    </row>
    <row r="373" spans="8:15">
      <c r="H373" s="1543" t="s">
        <v>2528</v>
      </c>
      <c r="I373" s="1544" t="s">
        <v>484</v>
      </c>
      <c r="J373" s="1544" t="s">
        <v>2529</v>
      </c>
      <c r="K373" s="1544"/>
      <c r="L373" s="1544"/>
      <c r="M373" s="1544"/>
      <c r="N373" s="1544"/>
      <c r="O373" s="1544"/>
    </row>
    <row r="374" spans="8:15">
      <c r="H374" s="1543" t="s">
        <v>2530</v>
      </c>
      <c r="I374" s="1544" t="s">
        <v>484</v>
      </c>
      <c r="J374" s="1544" t="s">
        <v>2531</v>
      </c>
      <c r="K374" s="1544"/>
      <c r="L374" s="1544"/>
      <c r="M374" s="1544"/>
      <c r="N374" s="1544"/>
      <c r="O374" s="1544"/>
    </row>
    <row r="375" spans="8:15">
      <c r="H375" s="1543" t="s">
        <v>2532</v>
      </c>
      <c r="I375" s="1544" t="s">
        <v>484</v>
      </c>
      <c r="J375" s="1544" t="s">
        <v>2533</v>
      </c>
      <c r="K375" s="1544"/>
      <c r="L375" s="1544"/>
      <c r="M375" s="1544"/>
      <c r="N375" s="1544"/>
      <c r="O375" s="1544"/>
    </row>
    <row r="376" spans="8:15">
      <c r="H376" s="1543" t="s">
        <v>2534</v>
      </c>
      <c r="I376" s="1544" t="s">
        <v>484</v>
      </c>
      <c r="J376" s="1544" t="s">
        <v>2535</v>
      </c>
      <c r="K376" s="1544"/>
      <c r="L376" s="1544"/>
      <c r="M376" s="1544"/>
      <c r="N376" s="1544"/>
      <c r="O376" s="1544"/>
    </row>
    <row r="377" spans="8:15">
      <c r="H377" s="1543" t="s">
        <v>2536</v>
      </c>
      <c r="I377" s="1544" t="s">
        <v>1993</v>
      </c>
      <c r="J377" s="1544"/>
      <c r="K377" s="1544">
        <f>ROW()</f>
        <v>377</v>
      </c>
      <c r="L377" s="1544">
        <f>K377+COUNTIF($I$122:$I$1909,I377)-1</f>
        <v>412</v>
      </c>
      <c r="M377" s="1544"/>
      <c r="N377" s="1544"/>
      <c r="O377" s="1544"/>
    </row>
    <row r="378" spans="8:15">
      <c r="H378" s="1543" t="s">
        <v>1231</v>
      </c>
      <c r="I378" s="1544" t="s">
        <v>1993</v>
      </c>
      <c r="J378" s="1544" t="s">
        <v>1230</v>
      </c>
      <c r="K378" s="1544"/>
      <c r="L378" s="1544"/>
      <c r="M378" s="1544"/>
      <c r="N378" s="1544"/>
      <c r="O378" s="1544"/>
    </row>
    <row r="379" spans="8:15">
      <c r="H379" s="1543" t="s">
        <v>2537</v>
      </c>
      <c r="I379" s="1544" t="s">
        <v>1993</v>
      </c>
      <c r="J379" s="1544" t="s">
        <v>2538</v>
      </c>
      <c r="K379" s="1544"/>
      <c r="L379" s="1544"/>
      <c r="M379" s="1544"/>
      <c r="N379" s="1544"/>
      <c r="O379" s="1544"/>
    </row>
    <row r="380" spans="8:15">
      <c r="H380" s="1543" t="s">
        <v>2539</v>
      </c>
      <c r="I380" s="1544" t="s">
        <v>1993</v>
      </c>
      <c r="J380" s="1544" t="s">
        <v>2540</v>
      </c>
      <c r="K380" s="1544"/>
      <c r="L380" s="1544"/>
      <c r="M380" s="1544"/>
      <c r="N380" s="1544"/>
      <c r="O380" s="1544"/>
    </row>
    <row r="381" spans="8:15">
      <c r="H381" s="1543" t="s">
        <v>2541</v>
      </c>
      <c r="I381" s="1544" t="s">
        <v>1993</v>
      </c>
      <c r="J381" s="1544" t="s">
        <v>2542</v>
      </c>
      <c r="K381" s="1544"/>
      <c r="L381" s="1544"/>
      <c r="M381" s="1544"/>
      <c r="N381" s="1544"/>
      <c r="O381" s="1544"/>
    </row>
    <row r="382" spans="8:15">
      <c r="H382" s="1543" t="s">
        <v>2543</v>
      </c>
      <c r="I382" s="1544" t="s">
        <v>1993</v>
      </c>
      <c r="J382" s="1544" t="s">
        <v>2544</v>
      </c>
      <c r="K382" s="1544"/>
      <c r="L382" s="1544"/>
      <c r="M382" s="1544"/>
      <c r="N382" s="1544"/>
      <c r="O382" s="1544"/>
    </row>
    <row r="383" spans="8:15">
      <c r="H383" s="1543" t="s">
        <v>2545</v>
      </c>
      <c r="I383" s="1544" t="s">
        <v>1993</v>
      </c>
      <c r="J383" s="1544" t="s">
        <v>2546</v>
      </c>
      <c r="K383" s="1544"/>
      <c r="L383" s="1544"/>
      <c r="M383" s="1544"/>
      <c r="N383" s="1544"/>
      <c r="O383" s="1544"/>
    </row>
    <row r="384" spans="8:15">
      <c r="H384" s="1543" t="s">
        <v>2547</v>
      </c>
      <c r="I384" s="1544" t="s">
        <v>1993</v>
      </c>
      <c r="J384" s="1544" t="s">
        <v>2548</v>
      </c>
      <c r="K384" s="1544"/>
      <c r="L384" s="1544"/>
      <c r="M384" s="1544"/>
      <c r="N384" s="1544"/>
      <c r="O384" s="1544"/>
    </row>
    <row r="385" spans="8:15">
      <c r="H385" s="1543" t="s">
        <v>2549</v>
      </c>
      <c r="I385" s="1544" t="s">
        <v>1993</v>
      </c>
      <c r="J385" s="1544" t="s">
        <v>2550</v>
      </c>
      <c r="K385" s="1544"/>
      <c r="L385" s="1544"/>
      <c r="M385" s="1544"/>
      <c r="N385" s="1544"/>
      <c r="O385" s="1544"/>
    </row>
    <row r="386" spans="8:15">
      <c r="H386" s="1543" t="s">
        <v>2551</v>
      </c>
      <c r="I386" s="1544" t="s">
        <v>1993</v>
      </c>
      <c r="J386" s="1544" t="s">
        <v>2552</v>
      </c>
      <c r="K386" s="1544"/>
      <c r="L386" s="1544"/>
      <c r="M386" s="1544"/>
      <c r="N386" s="1544"/>
      <c r="O386" s="1544"/>
    </row>
    <row r="387" spans="8:15">
      <c r="H387" s="1543" t="s">
        <v>2553</v>
      </c>
      <c r="I387" s="1544" t="s">
        <v>1993</v>
      </c>
      <c r="J387" s="1544" t="s">
        <v>2554</v>
      </c>
      <c r="K387" s="1544"/>
      <c r="L387" s="1544"/>
      <c r="M387" s="1544"/>
      <c r="N387" s="1544"/>
      <c r="O387" s="1544"/>
    </row>
    <row r="388" spans="8:15">
      <c r="H388" s="1543" t="s">
        <v>2555</v>
      </c>
      <c r="I388" s="1544" t="s">
        <v>1993</v>
      </c>
      <c r="J388" s="1544" t="s">
        <v>2556</v>
      </c>
      <c r="K388" s="1544"/>
      <c r="L388" s="1544"/>
      <c r="M388" s="1544"/>
      <c r="N388" s="1544"/>
      <c r="O388" s="1544"/>
    </row>
    <row r="389" spans="8:15">
      <c r="H389" s="1543" t="s">
        <v>2557</v>
      </c>
      <c r="I389" s="1544" t="s">
        <v>1993</v>
      </c>
      <c r="J389" s="1544" t="s">
        <v>2558</v>
      </c>
      <c r="K389" s="1544"/>
      <c r="L389" s="1544"/>
      <c r="M389" s="1544"/>
      <c r="N389" s="1544"/>
      <c r="O389" s="1544"/>
    </row>
    <row r="390" spans="8:15">
      <c r="H390" s="1543" t="s">
        <v>2559</v>
      </c>
      <c r="I390" s="1544" t="s">
        <v>1993</v>
      </c>
      <c r="J390" s="1544" t="s">
        <v>2560</v>
      </c>
      <c r="K390" s="1544"/>
      <c r="L390" s="1544"/>
      <c r="M390" s="1544"/>
      <c r="N390" s="1544"/>
      <c r="O390" s="1544"/>
    </row>
    <row r="391" spans="8:15">
      <c r="H391" s="1543" t="s">
        <v>2561</v>
      </c>
      <c r="I391" s="1544" t="s">
        <v>1993</v>
      </c>
      <c r="J391" s="1544" t="s">
        <v>2562</v>
      </c>
      <c r="K391" s="1544"/>
      <c r="L391" s="1544"/>
      <c r="M391" s="1544"/>
      <c r="N391" s="1544"/>
      <c r="O391" s="1544"/>
    </row>
    <row r="392" spans="8:15">
      <c r="H392" s="1543" t="s">
        <v>2563</v>
      </c>
      <c r="I392" s="1544" t="s">
        <v>1993</v>
      </c>
      <c r="J392" s="1544" t="s">
        <v>2564</v>
      </c>
      <c r="K392" s="1544"/>
      <c r="L392" s="1544"/>
      <c r="M392" s="1544"/>
      <c r="N392" s="1544"/>
      <c r="O392" s="1544"/>
    </row>
    <row r="393" spans="8:15">
      <c r="H393" s="1543" t="s">
        <v>2565</v>
      </c>
      <c r="I393" s="1544" t="s">
        <v>1993</v>
      </c>
      <c r="J393" s="1544" t="s">
        <v>2566</v>
      </c>
      <c r="K393" s="1544"/>
      <c r="L393" s="1544"/>
      <c r="M393" s="1544"/>
      <c r="N393" s="1544"/>
      <c r="O393" s="1544"/>
    </row>
    <row r="394" spans="8:15">
      <c r="H394" s="1543" t="s">
        <v>2567</v>
      </c>
      <c r="I394" s="1544" t="s">
        <v>1993</v>
      </c>
      <c r="J394" s="1544" t="s">
        <v>2568</v>
      </c>
      <c r="K394" s="1544"/>
      <c r="L394" s="1544"/>
      <c r="M394" s="1544"/>
      <c r="N394" s="1544"/>
      <c r="O394" s="1544"/>
    </row>
    <row r="395" spans="8:15">
      <c r="H395" s="1543" t="s">
        <v>2569</v>
      </c>
      <c r="I395" s="1544" t="s">
        <v>1993</v>
      </c>
      <c r="J395" s="1544" t="s">
        <v>2570</v>
      </c>
      <c r="K395" s="1544"/>
      <c r="L395" s="1544"/>
      <c r="M395" s="1544"/>
      <c r="N395" s="1544"/>
      <c r="O395" s="1544"/>
    </row>
    <row r="396" spans="8:15">
      <c r="H396" s="1543" t="s">
        <v>2571</v>
      </c>
      <c r="I396" s="1544" t="s">
        <v>1993</v>
      </c>
      <c r="J396" s="1544" t="s">
        <v>2572</v>
      </c>
      <c r="K396" s="1544"/>
      <c r="L396" s="1544"/>
      <c r="M396" s="1544"/>
      <c r="N396" s="1544"/>
      <c r="O396" s="1544"/>
    </row>
    <row r="397" spans="8:15">
      <c r="H397" s="1543" t="s">
        <v>2573</v>
      </c>
      <c r="I397" s="1544" t="s">
        <v>1993</v>
      </c>
      <c r="J397" s="1544" t="s">
        <v>2574</v>
      </c>
      <c r="K397" s="1544"/>
      <c r="L397" s="1544"/>
      <c r="M397" s="1544"/>
      <c r="N397" s="1544"/>
      <c r="O397" s="1544"/>
    </row>
    <row r="398" spans="8:15">
      <c r="H398" s="1543" t="s">
        <v>2575</v>
      </c>
      <c r="I398" s="1544" t="s">
        <v>1993</v>
      </c>
      <c r="J398" s="1544" t="s">
        <v>2576</v>
      </c>
      <c r="K398" s="1544"/>
      <c r="L398" s="1544"/>
      <c r="M398" s="1544"/>
      <c r="N398" s="1544"/>
      <c r="O398" s="1544"/>
    </row>
    <row r="399" spans="8:15">
      <c r="H399" s="1543" t="s">
        <v>2577</v>
      </c>
      <c r="I399" s="1544" t="s">
        <v>1993</v>
      </c>
      <c r="J399" s="1544" t="s">
        <v>2578</v>
      </c>
      <c r="K399" s="1544"/>
      <c r="L399" s="1544"/>
      <c r="M399" s="1544"/>
      <c r="N399" s="1544"/>
      <c r="O399" s="1544"/>
    </row>
    <row r="400" spans="8:15">
      <c r="H400" s="1543" t="s">
        <v>2579</v>
      </c>
      <c r="I400" s="1544" t="s">
        <v>1993</v>
      </c>
      <c r="J400" s="1544" t="s">
        <v>2580</v>
      </c>
      <c r="K400" s="1544"/>
      <c r="L400" s="1544"/>
      <c r="M400" s="1544"/>
      <c r="N400" s="1544"/>
      <c r="O400" s="1544"/>
    </row>
    <row r="401" spans="8:15">
      <c r="H401" s="1543" t="s">
        <v>2581</v>
      </c>
      <c r="I401" s="1544" t="s">
        <v>1993</v>
      </c>
      <c r="J401" s="1544" t="s">
        <v>2582</v>
      </c>
      <c r="K401" s="1544"/>
      <c r="L401" s="1544"/>
      <c r="M401" s="1544"/>
      <c r="N401" s="1544"/>
      <c r="O401" s="1544"/>
    </row>
    <row r="402" spans="8:15">
      <c r="H402" s="1543" t="s">
        <v>2583</v>
      </c>
      <c r="I402" s="1544" t="s">
        <v>1993</v>
      </c>
      <c r="J402" s="1544" t="s">
        <v>2584</v>
      </c>
      <c r="K402" s="1544"/>
      <c r="L402" s="1544"/>
      <c r="M402" s="1544"/>
      <c r="N402" s="1544"/>
      <c r="O402" s="1544"/>
    </row>
    <row r="403" spans="8:15">
      <c r="H403" s="1543" t="s">
        <v>2585</v>
      </c>
      <c r="I403" s="1544" t="s">
        <v>1993</v>
      </c>
      <c r="J403" s="1544" t="s">
        <v>2586</v>
      </c>
      <c r="K403" s="1544"/>
      <c r="L403" s="1544"/>
      <c r="M403" s="1544"/>
      <c r="N403" s="1544"/>
      <c r="O403" s="1544"/>
    </row>
    <row r="404" spans="8:15">
      <c r="H404" s="1543" t="s">
        <v>2587</v>
      </c>
      <c r="I404" s="1544" t="s">
        <v>1993</v>
      </c>
      <c r="J404" s="1544" t="s">
        <v>2588</v>
      </c>
      <c r="K404" s="1544"/>
      <c r="L404" s="1544"/>
      <c r="M404" s="1544"/>
      <c r="N404" s="1544"/>
      <c r="O404" s="1544"/>
    </row>
    <row r="405" spans="8:15">
      <c r="H405" s="1543" t="s">
        <v>2589</v>
      </c>
      <c r="I405" s="1544" t="s">
        <v>1993</v>
      </c>
      <c r="J405" s="1544" t="s">
        <v>2590</v>
      </c>
      <c r="K405" s="1544"/>
      <c r="L405" s="1544"/>
      <c r="M405" s="1544"/>
      <c r="N405" s="1544"/>
      <c r="O405" s="1544"/>
    </row>
    <row r="406" spans="8:15">
      <c r="H406" s="1543" t="s">
        <v>2591</v>
      </c>
      <c r="I406" s="1544" t="s">
        <v>1993</v>
      </c>
      <c r="J406" s="1544" t="s">
        <v>2592</v>
      </c>
      <c r="K406" s="1544"/>
      <c r="L406" s="1544"/>
      <c r="M406" s="1544"/>
      <c r="N406" s="1544"/>
      <c r="O406" s="1544"/>
    </row>
    <row r="407" spans="8:15">
      <c r="H407" s="1543" t="s">
        <v>2593</v>
      </c>
      <c r="I407" s="1544" t="s">
        <v>1993</v>
      </c>
      <c r="J407" s="1544" t="s">
        <v>2594</v>
      </c>
      <c r="K407" s="1544"/>
      <c r="L407" s="1544"/>
      <c r="M407" s="1544"/>
      <c r="N407" s="1544"/>
      <c r="O407" s="1544"/>
    </row>
    <row r="408" spans="8:15">
      <c r="H408" s="1543" t="s">
        <v>2595</v>
      </c>
      <c r="I408" s="1544" t="s">
        <v>1993</v>
      </c>
      <c r="J408" s="1544" t="s">
        <v>2596</v>
      </c>
      <c r="K408" s="1544"/>
      <c r="L408" s="1544"/>
      <c r="M408" s="1544"/>
      <c r="N408" s="1544"/>
      <c r="O408" s="1544"/>
    </row>
    <row r="409" spans="8:15">
      <c r="H409" s="1543" t="s">
        <v>2597</v>
      </c>
      <c r="I409" s="1544" t="s">
        <v>1993</v>
      </c>
      <c r="J409" s="1544" t="s">
        <v>2598</v>
      </c>
      <c r="K409" s="1544"/>
      <c r="L409" s="1544"/>
      <c r="M409" s="1544"/>
      <c r="N409" s="1544"/>
      <c r="O409" s="1544"/>
    </row>
    <row r="410" spans="8:15">
      <c r="H410" s="1543" t="s">
        <v>2599</v>
      </c>
      <c r="I410" s="1544" t="s">
        <v>1993</v>
      </c>
      <c r="J410" s="1544" t="s">
        <v>2600</v>
      </c>
      <c r="K410" s="1544"/>
      <c r="L410" s="1544"/>
      <c r="M410" s="1544"/>
      <c r="N410" s="1544"/>
      <c r="O410" s="1544"/>
    </row>
    <row r="411" spans="8:15">
      <c r="H411" s="1543" t="s">
        <v>2601</v>
      </c>
      <c r="I411" s="1544" t="s">
        <v>1993</v>
      </c>
      <c r="J411" s="1544" t="s">
        <v>2602</v>
      </c>
      <c r="K411" s="1544"/>
      <c r="L411" s="1544"/>
      <c r="M411" s="1544"/>
      <c r="N411" s="1544"/>
      <c r="O411" s="1544"/>
    </row>
    <row r="412" spans="8:15">
      <c r="H412" s="1543" t="s">
        <v>2603</v>
      </c>
      <c r="I412" s="1544" t="s">
        <v>1993</v>
      </c>
      <c r="J412" s="1544" t="s">
        <v>2604</v>
      </c>
      <c r="K412" s="1544"/>
      <c r="L412" s="1544"/>
      <c r="M412" s="1544"/>
      <c r="N412" s="1544"/>
      <c r="O412" s="1544"/>
    </row>
    <row r="413" spans="8:15">
      <c r="H413" s="1543" t="s">
        <v>2605</v>
      </c>
      <c r="I413" s="1544" t="s">
        <v>485</v>
      </c>
      <c r="J413" s="1544"/>
      <c r="K413" s="1544">
        <f>ROW()</f>
        <v>413</v>
      </c>
      <c r="L413" s="1544">
        <f>K413+COUNTIF($I$122:$I$1909,I413)-1</f>
        <v>438</v>
      </c>
      <c r="M413" s="1544"/>
      <c r="N413" s="1544"/>
      <c r="O413" s="1544"/>
    </row>
    <row r="414" spans="8:15">
      <c r="H414" s="1543" t="s">
        <v>1277</v>
      </c>
      <c r="I414" s="1544" t="s">
        <v>485</v>
      </c>
      <c r="J414" s="1544" t="s">
        <v>1276</v>
      </c>
      <c r="K414" s="1544"/>
      <c r="L414" s="1544"/>
      <c r="M414" s="1544"/>
      <c r="N414" s="1544"/>
      <c r="O414" s="1544"/>
    </row>
    <row r="415" spans="8:15">
      <c r="H415" s="1543" t="s">
        <v>2606</v>
      </c>
      <c r="I415" s="1544" t="s">
        <v>485</v>
      </c>
      <c r="J415" s="1544" t="s">
        <v>2607</v>
      </c>
      <c r="K415" s="1544"/>
      <c r="L415" s="1544"/>
      <c r="M415" s="1544"/>
      <c r="N415" s="1544"/>
      <c r="O415" s="1544"/>
    </row>
    <row r="416" spans="8:15">
      <c r="H416" s="1543" t="s">
        <v>2608</v>
      </c>
      <c r="I416" s="1544" t="s">
        <v>485</v>
      </c>
      <c r="J416" s="1544" t="s">
        <v>2609</v>
      </c>
      <c r="K416" s="1544"/>
      <c r="L416" s="1544"/>
      <c r="M416" s="1544"/>
      <c r="N416" s="1544"/>
      <c r="O416" s="1544"/>
    </row>
    <row r="417" spans="8:15">
      <c r="H417" s="1543" t="s">
        <v>2610</v>
      </c>
      <c r="I417" s="1544" t="s">
        <v>485</v>
      </c>
      <c r="J417" s="1544" t="s">
        <v>2611</v>
      </c>
      <c r="K417" s="1544"/>
      <c r="L417" s="1544"/>
      <c r="M417" s="1544"/>
      <c r="N417" s="1544"/>
      <c r="O417" s="1544"/>
    </row>
    <row r="418" spans="8:15">
      <c r="H418" s="1543" t="s">
        <v>2612</v>
      </c>
      <c r="I418" s="1544" t="s">
        <v>485</v>
      </c>
      <c r="J418" s="1544" t="s">
        <v>2613</v>
      </c>
      <c r="K418" s="1544"/>
      <c r="L418" s="1544"/>
      <c r="M418" s="1544"/>
      <c r="N418" s="1544"/>
      <c r="O418" s="1544"/>
    </row>
    <row r="419" spans="8:15">
      <c r="H419" s="1543" t="s">
        <v>2614</v>
      </c>
      <c r="I419" s="1544" t="s">
        <v>485</v>
      </c>
      <c r="J419" s="1544" t="s">
        <v>2615</v>
      </c>
      <c r="K419" s="1544"/>
      <c r="L419" s="1544"/>
      <c r="M419" s="1544"/>
      <c r="N419" s="1544"/>
      <c r="O419" s="1544"/>
    </row>
    <row r="420" spans="8:15">
      <c r="H420" s="1543" t="s">
        <v>2616</v>
      </c>
      <c r="I420" s="1544" t="s">
        <v>485</v>
      </c>
      <c r="J420" s="1544" t="s">
        <v>2617</v>
      </c>
      <c r="K420" s="1544"/>
      <c r="L420" s="1544"/>
      <c r="M420" s="1544"/>
      <c r="N420" s="1544"/>
      <c r="O420" s="1544"/>
    </row>
    <row r="421" spans="8:15">
      <c r="H421" s="1543" t="s">
        <v>2618</v>
      </c>
      <c r="I421" s="1544" t="s">
        <v>485</v>
      </c>
      <c r="J421" s="1544" t="s">
        <v>2619</v>
      </c>
      <c r="K421" s="1544"/>
      <c r="L421" s="1544"/>
      <c r="M421" s="1544"/>
      <c r="N421" s="1544"/>
      <c r="O421" s="1544"/>
    </row>
    <row r="422" spans="8:15">
      <c r="H422" s="1543" t="s">
        <v>2620</v>
      </c>
      <c r="I422" s="1544" t="s">
        <v>485</v>
      </c>
      <c r="J422" s="1544" t="s">
        <v>2621</v>
      </c>
      <c r="K422" s="1544"/>
      <c r="L422" s="1544"/>
      <c r="M422" s="1544"/>
      <c r="N422" s="1544"/>
      <c r="O422" s="1544"/>
    </row>
    <row r="423" spans="8:15">
      <c r="H423" s="1543" t="s">
        <v>2622</v>
      </c>
      <c r="I423" s="1544" t="s">
        <v>485</v>
      </c>
      <c r="J423" s="1544" t="s">
        <v>2623</v>
      </c>
      <c r="K423" s="1544"/>
      <c r="L423" s="1544"/>
      <c r="M423" s="1544"/>
      <c r="N423" s="1544"/>
      <c r="O423" s="1544"/>
    </row>
    <row r="424" spans="8:15">
      <c r="H424" s="1543" t="s">
        <v>2624</v>
      </c>
      <c r="I424" s="1544" t="s">
        <v>485</v>
      </c>
      <c r="J424" s="1544" t="s">
        <v>2625</v>
      </c>
      <c r="K424" s="1544"/>
      <c r="L424" s="1544"/>
      <c r="M424" s="1544"/>
      <c r="N424" s="1544"/>
      <c r="O424" s="1544"/>
    </row>
    <row r="425" spans="8:15">
      <c r="H425" s="1543" t="s">
        <v>2626</v>
      </c>
      <c r="I425" s="1544" t="s">
        <v>485</v>
      </c>
      <c r="J425" s="1544" t="s">
        <v>2627</v>
      </c>
      <c r="K425" s="1544"/>
      <c r="L425" s="1544"/>
      <c r="M425" s="1544"/>
      <c r="N425" s="1544"/>
      <c r="O425" s="1544"/>
    </row>
    <row r="426" spans="8:15">
      <c r="H426" s="1543" t="s">
        <v>2628</v>
      </c>
      <c r="I426" s="1544" t="s">
        <v>485</v>
      </c>
      <c r="J426" s="1544" t="s">
        <v>2629</v>
      </c>
      <c r="K426" s="1544"/>
      <c r="L426" s="1544"/>
      <c r="M426" s="1544"/>
      <c r="N426" s="1544"/>
      <c r="O426" s="1544"/>
    </row>
    <row r="427" spans="8:15">
      <c r="H427" s="1543" t="s">
        <v>2630</v>
      </c>
      <c r="I427" s="1544" t="s">
        <v>485</v>
      </c>
      <c r="J427" s="1544" t="s">
        <v>2631</v>
      </c>
      <c r="K427" s="1544"/>
      <c r="L427" s="1544"/>
      <c r="M427" s="1544"/>
      <c r="N427" s="1544"/>
      <c r="O427" s="1544"/>
    </row>
    <row r="428" spans="8:15">
      <c r="H428" s="1543" t="s">
        <v>2632</v>
      </c>
      <c r="I428" s="1544" t="s">
        <v>485</v>
      </c>
      <c r="J428" s="1544" t="s">
        <v>2633</v>
      </c>
      <c r="K428" s="1544"/>
      <c r="L428" s="1544"/>
      <c r="M428" s="1544"/>
      <c r="N428" s="1544"/>
      <c r="O428" s="1544"/>
    </row>
    <row r="429" spans="8:15">
      <c r="H429" s="1543" t="s">
        <v>2634</v>
      </c>
      <c r="I429" s="1544" t="s">
        <v>485</v>
      </c>
      <c r="J429" s="1544" t="s">
        <v>2635</v>
      </c>
      <c r="K429" s="1544"/>
      <c r="L429" s="1544"/>
      <c r="M429" s="1544"/>
      <c r="N429" s="1544"/>
      <c r="O429" s="1544"/>
    </row>
    <row r="430" spans="8:15">
      <c r="H430" s="1543" t="s">
        <v>2636</v>
      </c>
      <c r="I430" s="1544" t="s">
        <v>485</v>
      </c>
      <c r="J430" s="1544" t="s">
        <v>2637</v>
      </c>
      <c r="K430" s="1544"/>
      <c r="L430" s="1544"/>
      <c r="M430" s="1544"/>
      <c r="N430" s="1544"/>
      <c r="O430" s="1544"/>
    </row>
    <row r="431" spans="8:15">
      <c r="H431" s="1543" t="s">
        <v>2638</v>
      </c>
      <c r="I431" s="1544" t="s">
        <v>485</v>
      </c>
      <c r="J431" s="1544" t="s">
        <v>2639</v>
      </c>
      <c r="K431" s="1544"/>
      <c r="L431" s="1544"/>
      <c r="M431" s="1544"/>
      <c r="N431" s="1544"/>
      <c r="O431" s="1544"/>
    </row>
    <row r="432" spans="8:15">
      <c r="H432" s="1543" t="s">
        <v>2640</v>
      </c>
      <c r="I432" s="1544" t="s">
        <v>485</v>
      </c>
      <c r="J432" s="1544" t="s">
        <v>2641</v>
      </c>
      <c r="K432" s="1544"/>
      <c r="L432" s="1544"/>
      <c r="M432" s="1544"/>
      <c r="N432" s="1544"/>
      <c r="O432" s="1544"/>
    </row>
    <row r="433" spans="8:15">
      <c r="H433" s="1543" t="s">
        <v>2642</v>
      </c>
      <c r="I433" s="1544" t="s">
        <v>485</v>
      </c>
      <c r="J433" s="1544" t="s">
        <v>2643</v>
      </c>
      <c r="K433" s="1544"/>
      <c r="L433" s="1544"/>
      <c r="M433" s="1544"/>
      <c r="N433" s="1544"/>
      <c r="O433" s="1544"/>
    </row>
    <row r="434" spans="8:15">
      <c r="H434" s="1543" t="s">
        <v>2644</v>
      </c>
      <c r="I434" s="1544" t="s">
        <v>485</v>
      </c>
      <c r="J434" s="1544" t="s">
        <v>2645</v>
      </c>
      <c r="K434" s="1544"/>
      <c r="L434" s="1544"/>
      <c r="M434" s="1544"/>
      <c r="N434" s="1544"/>
      <c r="O434" s="1544"/>
    </row>
    <row r="435" spans="8:15">
      <c r="H435" s="1543" t="s">
        <v>2646</v>
      </c>
      <c r="I435" s="1544" t="s">
        <v>485</v>
      </c>
      <c r="J435" s="1544" t="s">
        <v>2647</v>
      </c>
      <c r="K435" s="1544"/>
      <c r="L435" s="1544"/>
      <c r="M435" s="1544"/>
      <c r="N435" s="1544"/>
      <c r="O435" s="1544"/>
    </row>
    <row r="436" spans="8:15">
      <c r="H436" s="1543" t="s">
        <v>2648</v>
      </c>
      <c r="I436" s="1544" t="s">
        <v>485</v>
      </c>
      <c r="J436" s="1544" t="s">
        <v>2649</v>
      </c>
      <c r="K436" s="1544"/>
      <c r="L436" s="1544"/>
      <c r="M436" s="1544"/>
      <c r="N436" s="1544"/>
      <c r="O436" s="1544"/>
    </row>
    <row r="437" spans="8:15">
      <c r="H437" s="1543" t="s">
        <v>2650</v>
      </c>
      <c r="I437" s="1544" t="s">
        <v>485</v>
      </c>
      <c r="J437" s="1544" t="s">
        <v>2651</v>
      </c>
      <c r="K437" s="1544"/>
      <c r="L437" s="1544"/>
      <c r="M437" s="1544"/>
      <c r="N437" s="1544"/>
      <c r="O437" s="1544"/>
    </row>
    <row r="438" spans="8:15">
      <c r="H438" s="1543" t="s">
        <v>2652</v>
      </c>
      <c r="I438" s="1544" t="s">
        <v>485</v>
      </c>
      <c r="J438" s="1544" t="s">
        <v>2653</v>
      </c>
      <c r="K438" s="1544"/>
      <c r="L438" s="1544"/>
      <c r="M438" s="1544"/>
      <c r="N438" s="1544"/>
      <c r="O438" s="1544"/>
    </row>
    <row r="439" spans="8:15">
      <c r="H439" s="1543" t="s">
        <v>2654</v>
      </c>
      <c r="I439" s="1544" t="s">
        <v>514</v>
      </c>
      <c r="J439" s="1544"/>
      <c r="K439" s="1544">
        <f>ROW()</f>
        <v>439</v>
      </c>
      <c r="L439" s="1544">
        <f>K439+COUNTIF($I$122:$I$1909,I439)-1</f>
        <v>474</v>
      </c>
      <c r="M439" s="1544"/>
      <c r="N439" s="1544"/>
      <c r="O439" s="1544"/>
    </row>
    <row r="440" spans="8:15">
      <c r="H440" s="1543" t="s">
        <v>1361</v>
      </c>
      <c r="I440" s="1544" t="s">
        <v>514</v>
      </c>
      <c r="J440" s="1544" t="s">
        <v>1360</v>
      </c>
      <c r="K440" s="1544"/>
      <c r="L440" s="1544"/>
      <c r="M440" s="1544"/>
      <c r="N440" s="1544"/>
      <c r="O440" s="1544"/>
    </row>
    <row r="441" spans="8:15">
      <c r="H441" s="1543" t="s">
        <v>2655</v>
      </c>
      <c r="I441" s="1544" t="s">
        <v>514</v>
      </c>
      <c r="J441" s="1544" t="s">
        <v>2656</v>
      </c>
      <c r="K441" s="1544"/>
      <c r="L441" s="1544"/>
      <c r="M441" s="1544"/>
      <c r="N441" s="1544"/>
      <c r="O441" s="1544"/>
    </row>
    <row r="442" spans="8:15">
      <c r="H442" s="1543" t="s">
        <v>2657</v>
      </c>
      <c r="I442" s="1544" t="s">
        <v>514</v>
      </c>
      <c r="J442" s="1544" t="s">
        <v>2658</v>
      </c>
      <c r="K442" s="1544"/>
      <c r="L442" s="1544"/>
      <c r="M442" s="1544"/>
      <c r="N442" s="1544"/>
      <c r="O442" s="1544"/>
    </row>
    <row r="443" spans="8:15">
      <c r="H443" s="1543" t="s">
        <v>2659</v>
      </c>
      <c r="I443" s="1544" t="s">
        <v>514</v>
      </c>
      <c r="J443" s="1544" t="s">
        <v>2660</v>
      </c>
      <c r="K443" s="1544"/>
      <c r="L443" s="1544"/>
      <c r="M443" s="1544"/>
      <c r="N443" s="1544"/>
      <c r="O443" s="1544"/>
    </row>
    <row r="444" spans="8:15">
      <c r="H444" s="1543" t="s">
        <v>2661</v>
      </c>
      <c r="I444" s="1544" t="s">
        <v>514</v>
      </c>
      <c r="J444" s="1544" t="s">
        <v>2662</v>
      </c>
      <c r="K444" s="1544"/>
      <c r="L444" s="1544"/>
      <c r="M444" s="1544"/>
      <c r="N444" s="1544"/>
      <c r="O444" s="1544"/>
    </row>
    <row r="445" spans="8:15">
      <c r="H445" s="1543" t="s">
        <v>2663</v>
      </c>
      <c r="I445" s="1544" t="s">
        <v>514</v>
      </c>
      <c r="J445" s="1544" t="s">
        <v>2664</v>
      </c>
      <c r="K445" s="1544"/>
      <c r="L445" s="1544"/>
      <c r="M445" s="1544"/>
      <c r="N445" s="1544"/>
      <c r="O445" s="1544"/>
    </row>
    <row r="446" spans="8:15">
      <c r="H446" s="1543" t="s">
        <v>2665</v>
      </c>
      <c r="I446" s="1544" t="s">
        <v>514</v>
      </c>
      <c r="J446" s="1544" t="s">
        <v>2666</v>
      </c>
      <c r="K446" s="1544"/>
      <c r="L446" s="1544"/>
      <c r="M446" s="1544"/>
      <c r="N446" s="1544"/>
      <c r="O446" s="1544"/>
    </row>
    <row r="447" spans="8:15">
      <c r="H447" s="1543" t="s">
        <v>2667</v>
      </c>
      <c r="I447" s="1544" t="s">
        <v>514</v>
      </c>
      <c r="J447" s="1544" t="s">
        <v>2668</v>
      </c>
      <c r="K447" s="1544"/>
      <c r="L447" s="1544"/>
      <c r="M447" s="1544"/>
      <c r="N447" s="1544"/>
      <c r="O447" s="1544"/>
    </row>
    <row r="448" spans="8:15">
      <c r="H448" s="1543" t="s">
        <v>2669</v>
      </c>
      <c r="I448" s="1544" t="s">
        <v>514</v>
      </c>
      <c r="J448" s="1544" t="s">
        <v>2670</v>
      </c>
      <c r="K448" s="1544"/>
      <c r="L448" s="1544"/>
      <c r="M448" s="1544"/>
      <c r="N448" s="1544"/>
      <c r="O448" s="1544"/>
    </row>
    <row r="449" spans="8:15">
      <c r="H449" s="1543" t="s">
        <v>2671</v>
      </c>
      <c r="I449" s="1544" t="s">
        <v>514</v>
      </c>
      <c r="J449" s="1544" t="s">
        <v>2672</v>
      </c>
      <c r="K449" s="1544"/>
      <c r="L449" s="1544"/>
      <c r="M449" s="1544"/>
      <c r="N449" s="1544"/>
      <c r="O449" s="1544"/>
    </row>
    <row r="450" spans="8:15">
      <c r="H450" s="1543" t="s">
        <v>2673</v>
      </c>
      <c r="I450" s="1544" t="s">
        <v>514</v>
      </c>
      <c r="J450" s="1544" t="s">
        <v>2674</v>
      </c>
      <c r="K450" s="1544"/>
      <c r="L450" s="1544"/>
      <c r="M450" s="1544"/>
      <c r="N450" s="1544"/>
      <c r="O450" s="1544"/>
    </row>
    <row r="451" spans="8:15">
      <c r="H451" s="1543" t="s">
        <v>2675</v>
      </c>
      <c r="I451" s="1544" t="s">
        <v>514</v>
      </c>
      <c r="J451" s="1544" t="s">
        <v>2676</v>
      </c>
      <c r="K451" s="1544"/>
      <c r="L451" s="1544"/>
      <c r="M451" s="1544"/>
      <c r="N451" s="1544"/>
      <c r="O451" s="1544"/>
    </row>
    <row r="452" spans="8:15">
      <c r="H452" s="1543" t="s">
        <v>2677</v>
      </c>
      <c r="I452" s="1544" t="s">
        <v>514</v>
      </c>
      <c r="J452" s="1544" t="s">
        <v>2678</v>
      </c>
      <c r="K452" s="1544"/>
      <c r="L452" s="1544"/>
      <c r="M452" s="1544"/>
      <c r="N452" s="1544"/>
      <c r="O452" s="1544"/>
    </row>
    <row r="453" spans="8:15">
      <c r="H453" s="1543" t="s">
        <v>2679</v>
      </c>
      <c r="I453" s="1544" t="s">
        <v>514</v>
      </c>
      <c r="J453" s="1544" t="s">
        <v>2680</v>
      </c>
      <c r="K453" s="1544"/>
      <c r="L453" s="1544"/>
      <c r="M453" s="1544"/>
      <c r="N453" s="1544"/>
      <c r="O453" s="1544"/>
    </row>
    <row r="454" spans="8:15">
      <c r="H454" s="1543" t="s">
        <v>2681</v>
      </c>
      <c r="I454" s="1544" t="s">
        <v>514</v>
      </c>
      <c r="J454" s="1544" t="s">
        <v>2682</v>
      </c>
      <c r="K454" s="1544"/>
      <c r="L454" s="1544"/>
      <c r="M454" s="1544"/>
      <c r="N454" s="1544"/>
      <c r="O454" s="1544"/>
    </row>
    <row r="455" spans="8:15">
      <c r="H455" s="1543" t="s">
        <v>2683</v>
      </c>
      <c r="I455" s="1544" t="s">
        <v>514</v>
      </c>
      <c r="J455" s="1544" t="s">
        <v>2684</v>
      </c>
      <c r="K455" s="1544"/>
      <c r="L455" s="1544"/>
      <c r="M455" s="1544"/>
      <c r="N455" s="1544"/>
      <c r="O455" s="1544"/>
    </row>
    <row r="456" spans="8:15">
      <c r="H456" s="1543" t="s">
        <v>2685</v>
      </c>
      <c r="I456" s="1544" t="s">
        <v>514</v>
      </c>
      <c r="J456" s="1544" t="s">
        <v>2686</v>
      </c>
      <c r="K456" s="1544"/>
      <c r="L456" s="1544"/>
      <c r="M456" s="1544"/>
      <c r="N456" s="1544"/>
      <c r="O456" s="1544"/>
    </row>
    <row r="457" spans="8:15">
      <c r="H457" s="1543" t="s">
        <v>2687</v>
      </c>
      <c r="I457" s="1544" t="s">
        <v>514</v>
      </c>
      <c r="J457" s="1544" t="s">
        <v>2688</v>
      </c>
      <c r="K457" s="1544"/>
      <c r="L457" s="1544"/>
      <c r="M457" s="1544"/>
      <c r="N457" s="1544"/>
      <c r="O457" s="1544"/>
    </row>
    <row r="458" spans="8:15">
      <c r="H458" s="1543" t="s">
        <v>2689</v>
      </c>
      <c r="I458" s="1544" t="s">
        <v>514</v>
      </c>
      <c r="J458" s="1544" t="s">
        <v>2690</v>
      </c>
      <c r="K458" s="1544"/>
      <c r="L458" s="1544"/>
      <c r="M458" s="1544"/>
      <c r="N458" s="1544"/>
      <c r="O458" s="1544"/>
    </row>
    <row r="459" spans="8:15">
      <c r="H459" s="1543" t="s">
        <v>2691</v>
      </c>
      <c r="I459" s="1544" t="s">
        <v>514</v>
      </c>
      <c r="J459" s="1544" t="s">
        <v>2692</v>
      </c>
      <c r="K459" s="1544"/>
      <c r="L459" s="1544"/>
      <c r="M459" s="1544"/>
      <c r="N459" s="1544"/>
      <c r="O459" s="1544"/>
    </row>
    <row r="460" spans="8:15">
      <c r="H460" s="1543" t="s">
        <v>2693</v>
      </c>
      <c r="I460" s="1544" t="s">
        <v>514</v>
      </c>
      <c r="J460" s="1544" t="s">
        <v>2694</v>
      </c>
      <c r="K460" s="1544"/>
      <c r="L460" s="1544"/>
      <c r="M460" s="1544"/>
      <c r="N460" s="1544"/>
      <c r="O460" s="1544"/>
    </row>
    <row r="461" spans="8:15">
      <c r="H461" s="1543" t="s">
        <v>2695</v>
      </c>
      <c r="I461" s="1544" t="s">
        <v>514</v>
      </c>
      <c r="J461" s="1544" t="s">
        <v>2696</v>
      </c>
      <c r="K461" s="1544"/>
      <c r="L461" s="1544"/>
      <c r="M461" s="1544"/>
      <c r="N461" s="1544"/>
      <c r="O461" s="1544"/>
    </row>
    <row r="462" spans="8:15">
      <c r="H462" s="1543" t="s">
        <v>2697</v>
      </c>
      <c r="I462" s="1544" t="s">
        <v>514</v>
      </c>
      <c r="J462" s="1544" t="s">
        <v>2698</v>
      </c>
      <c r="K462" s="1544"/>
      <c r="L462" s="1544"/>
      <c r="M462" s="1544"/>
      <c r="N462" s="1544"/>
      <c r="O462" s="1544"/>
    </row>
    <row r="463" spans="8:15">
      <c r="H463" s="1543" t="s">
        <v>2699</v>
      </c>
      <c r="I463" s="1544" t="s">
        <v>514</v>
      </c>
      <c r="J463" s="1544" t="s">
        <v>2700</v>
      </c>
      <c r="K463" s="1544"/>
      <c r="L463" s="1544"/>
      <c r="M463" s="1544"/>
      <c r="N463" s="1544"/>
      <c r="O463" s="1544"/>
    </row>
    <row r="464" spans="8:15">
      <c r="H464" s="1543" t="s">
        <v>2701</v>
      </c>
      <c r="I464" s="1544" t="s">
        <v>514</v>
      </c>
      <c r="J464" s="1544" t="s">
        <v>2702</v>
      </c>
      <c r="K464" s="1544"/>
      <c r="L464" s="1544"/>
      <c r="M464" s="1544"/>
      <c r="N464" s="1544"/>
      <c r="O464" s="1544"/>
    </row>
    <row r="465" spans="8:15">
      <c r="H465" s="1543" t="s">
        <v>2703</v>
      </c>
      <c r="I465" s="1544" t="s">
        <v>514</v>
      </c>
      <c r="J465" s="1544" t="s">
        <v>2704</v>
      </c>
      <c r="K465" s="1544"/>
      <c r="L465" s="1544"/>
      <c r="M465" s="1544"/>
      <c r="N465" s="1544"/>
      <c r="O465" s="1544"/>
    </row>
    <row r="466" spans="8:15">
      <c r="H466" s="1543" t="s">
        <v>2705</v>
      </c>
      <c r="I466" s="1544" t="s">
        <v>514</v>
      </c>
      <c r="J466" s="1544" t="s">
        <v>2706</v>
      </c>
      <c r="K466" s="1544"/>
      <c r="L466" s="1544"/>
      <c r="M466" s="1544"/>
      <c r="N466" s="1544"/>
      <c r="O466" s="1544"/>
    </row>
    <row r="467" spans="8:15">
      <c r="H467" s="1543" t="s">
        <v>2707</v>
      </c>
      <c r="I467" s="1544" t="s">
        <v>514</v>
      </c>
      <c r="J467" s="1544" t="s">
        <v>2708</v>
      </c>
      <c r="K467" s="1544"/>
      <c r="L467" s="1544"/>
      <c r="M467" s="1544"/>
      <c r="N467" s="1544"/>
      <c r="O467" s="1544"/>
    </row>
    <row r="468" spans="8:15">
      <c r="H468" s="1543" t="s">
        <v>2709</v>
      </c>
      <c r="I468" s="1544" t="s">
        <v>514</v>
      </c>
      <c r="J468" s="1544" t="s">
        <v>2710</v>
      </c>
      <c r="K468" s="1544"/>
      <c r="L468" s="1544"/>
      <c r="M468" s="1544"/>
      <c r="N468" s="1544"/>
      <c r="O468" s="1544"/>
    </row>
    <row r="469" spans="8:15">
      <c r="H469" s="1543" t="s">
        <v>2711</v>
      </c>
      <c r="I469" s="1544" t="s">
        <v>514</v>
      </c>
      <c r="J469" s="1544" t="s">
        <v>2712</v>
      </c>
      <c r="K469" s="1544"/>
      <c r="L469" s="1544"/>
      <c r="M469" s="1544"/>
      <c r="N469" s="1544"/>
      <c r="O469" s="1544"/>
    </row>
    <row r="470" spans="8:15">
      <c r="H470" s="1543" t="s">
        <v>2713</v>
      </c>
      <c r="I470" s="1544" t="s">
        <v>514</v>
      </c>
      <c r="J470" s="1544" t="s">
        <v>2714</v>
      </c>
      <c r="K470" s="1544"/>
      <c r="L470" s="1544"/>
      <c r="M470" s="1544"/>
      <c r="N470" s="1544"/>
      <c r="O470" s="1544"/>
    </row>
    <row r="471" spans="8:15">
      <c r="H471" s="1543" t="s">
        <v>2715</v>
      </c>
      <c r="I471" s="1544" t="s">
        <v>514</v>
      </c>
      <c r="J471" s="1544" t="s">
        <v>2716</v>
      </c>
      <c r="K471" s="1544"/>
      <c r="L471" s="1544"/>
      <c r="M471" s="1544"/>
      <c r="N471" s="1544"/>
      <c r="O471" s="1544"/>
    </row>
    <row r="472" spans="8:15">
      <c r="H472" s="1543" t="s">
        <v>2717</v>
      </c>
      <c r="I472" s="1544" t="s">
        <v>514</v>
      </c>
      <c r="J472" s="1544" t="s">
        <v>2718</v>
      </c>
      <c r="K472" s="1544"/>
      <c r="L472" s="1544"/>
      <c r="M472" s="1544"/>
      <c r="N472" s="1544"/>
      <c r="O472" s="1544"/>
    </row>
    <row r="473" spans="8:15">
      <c r="H473" s="1543" t="s">
        <v>2719</v>
      </c>
      <c r="I473" s="1544" t="s">
        <v>514</v>
      </c>
      <c r="J473" s="1544" t="s">
        <v>2720</v>
      </c>
      <c r="K473" s="1544"/>
      <c r="L473" s="1544"/>
      <c r="M473" s="1544"/>
      <c r="N473" s="1544"/>
      <c r="O473" s="1544"/>
    </row>
    <row r="474" spans="8:15">
      <c r="H474" s="1543" t="s">
        <v>2721</v>
      </c>
      <c r="I474" s="1544" t="s">
        <v>514</v>
      </c>
      <c r="J474" s="1544" t="s">
        <v>2722</v>
      </c>
      <c r="K474" s="1544"/>
      <c r="L474" s="1544"/>
      <c r="M474" s="1544"/>
      <c r="N474" s="1544"/>
      <c r="O474" s="1544"/>
    </row>
    <row r="475" spans="8:15">
      <c r="H475" s="1543" t="s">
        <v>2723</v>
      </c>
      <c r="I475" s="1544" t="s">
        <v>486</v>
      </c>
      <c r="J475" s="1544"/>
      <c r="K475" s="1544">
        <f>ROW()</f>
        <v>475</v>
      </c>
      <c r="L475" s="1544">
        <f>K475+COUNTIF($I$122:$I$1909,I475)-1</f>
        <v>534</v>
      </c>
      <c r="M475" s="1544"/>
      <c r="N475" s="1544"/>
      <c r="O475" s="1544"/>
    </row>
    <row r="476" spans="8:15">
      <c r="H476" s="1543" t="s">
        <v>1676</v>
      </c>
      <c r="I476" s="1544" t="s">
        <v>486</v>
      </c>
      <c r="J476" s="1544" t="s">
        <v>2724</v>
      </c>
      <c r="K476" s="1544"/>
      <c r="L476" s="1544"/>
      <c r="M476" s="1544"/>
      <c r="N476" s="1544"/>
      <c r="O476" s="1544"/>
    </row>
    <row r="477" spans="8:15">
      <c r="H477" s="1543" t="s">
        <v>2725</v>
      </c>
      <c r="I477" s="1544" t="s">
        <v>486</v>
      </c>
      <c r="J477" s="1544" t="s">
        <v>2726</v>
      </c>
      <c r="K477" s="1544"/>
      <c r="L477" s="1544"/>
      <c r="M477" s="1544"/>
      <c r="N477" s="1544"/>
      <c r="O477" s="1544"/>
    </row>
    <row r="478" spans="8:15">
      <c r="H478" s="1543" t="s">
        <v>1279</v>
      </c>
      <c r="I478" s="1544" t="s">
        <v>486</v>
      </c>
      <c r="J478" s="1544" t="s">
        <v>1278</v>
      </c>
      <c r="K478" s="1544"/>
      <c r="L478" s="1544"/>
      <c r="M478" s="1544"/>
      <c r="N478" s="1544"/>
      <c r="O478" s="1544"/>
    </row>
    <row r="479" spans="8:15">
      <c r="H479" s="1543" t="s">
        <v>1281</v>
      </c>
      <c r="I479" s="1544" t="s">
        <v>486</v>
      </c>
      <c r="J479" s="1544" t="s">
        <v>1280</v>
      </c>
      <c r="K479" s="1544"/>
      <c r="L479" s="1544"/>
      <c r="M479" s="1544"/>
      <c r="N479" s="1544"/>
      <c r="O479" s="1544"/>
    </row>
    <row r="480" spans="8:15">
      <c r="H480" s="1543" t="s">
        <v>2727</v>
      </c>
      <c r="I480" s="1544" t="s">
        <v>486</v>
      </c>
      <c r="J480" s="1544" t="s">
        <v>2728</v>
      </c>
      <c r="K480" s="1544"/>
      <c r="L480" s="1544"/>
      <c r="M480" s="1544"/>
      <c r="N480" s="1544"/>
      <c r="O480" s="1544"/>
    </row>
    <row r="481" spans="8:15">
      <c r="H481" s="1543" t="s">
        <v>2729</v>
      </c>
      <c r="I481" s="1544" t="s">
        <v>486</v>
      </c>
      <c r="J481" s="1544" t="s">
        <v>2730</v>
      </c>
      <c r="K481" s="1544"/>
      <c r="L481" s="1544"/>
      <c r="M481" s="1544"/>
      <c r="N481" s="1544"/>
      <c r="O481" s="1544"/>
    </row>
    <row r="482" spans="8:15">
      <c r="H482" s="1543" t="s">
        <v>2731</v>
      </c>
      <c r="I482" s="1544" t="s">
        <v>486</v>
      </c>
      <c r="J482" s="1544" t="s">
        <v>2732</v>
      </c>
      <c r="K482" s="1544"/>
      <c r="L482" s="1544"/>
      <c r="M482" s="1544"/>
      <c r="N482" s="1544"/>
      <c r="O482" s="1544"/>
    </row>
    <row r="483" spans="8:15">
      <c r="H483" s="1543" t="s">
        <v>2733</v>
      </c>
      <c r="I483" s="1544" t="s">
        <v>486</v>
      </c>
      <c r="J483" s="1544" t="s">
        <v>2734</v>
      </c>
      <c r="K483" s="1544"/>
      <c r="L483" s="1544"/>
      <c r="M483" s="1544"/>
      <c r="N483" s="1544"/>
      <c r="O483" s="1544"/>
    </row>
    <row r="484" spans="8:15">
      <c r="H484" s="1543" t="s">
        <v>2735</v>
      </c>
      <c r="I484" s="1544" t="s">
        <v>486</v>
      </c>
      <c r="J484" s="1544" t="s">
        <v>2736</v>
      </c>
      <c r="K484" s="1544"/>
      <c r="L484" s="1544"/>
      <c r="M484" s="1544"/>
      <c r="N484" s="1544"/>
      <c r="O484" s="1544"/>
    </row>
    <row r="485" spans="8:15">
      <c r="H485" s="1543" t="s">
        <v>2737</v>
      </c>
      <c r="I485" s="1544" t="s">
        <v>486</v>
      </c>
      <c r="J485" s="1544" t="s">
        <v>2738</v>
      </c>
      <c r="K485" s="1544"/>
      <c r="L485" s="1544"/>
      <c r="M485" s="1544"/>
      <c r="N485" s="1544"/>
      <c r="O485" s="1544"/>
    </row>
    <row r="486" spans="8:15">
      <c r="H486" s="1543" t="s">
        <v>2739</v>
      </c>
      <c r="I486" s="1544" t="s">
        <v>486</v>
      </c>
      <c r="J486" s="1544" t="s">
        <v>2740</v>
      </c>
      <c r="K486" s="1544"/>
      <c r="L486" s="1544"/>
      <c r="M486" s="1544"/>
      <c r="N486" s="1544"/>
      <c r="O486" s="1544"/>
    </row>
    <row r="487" spans="8:15">
      <c r="H487" s="1543" t="s">
        <v>2741</v>
      </c>
      <c r="I487" s="1544" t="s">
        <v>486</v>
      </c>
      <c r="J487" s="1544" t="s">
        <v>2079</v>
      </c>
      <c r="K487" s="1544"/>
      <c r="L487" s="1544"/>
      <c r="M487" s="1544"/>
      <c r="N487" s="1544"/>
      <c r="O487" s="1544"/>
    </row>
    <row r="488" spans="8:15">
      <c r="H488" s="1543" t="s">
        <v>2742</v>
      </c>
      <c r="I488" s="1544" t="s">
        <v>486</v>
      </c>
      <c r="J488" s="1544" t="s">
        <v>2743</v>
      </c>
      <c r="K488" s="1544"/>
      <c r="L488" s="1544"/>
      <c r="M488" s="1544"/>
      <c r="N488" s="1544"/>
      <c r="O488" s="1544"/>
    </row>
    <row r="489" spans="8:15">
      <c r="H489" s="1543" t="s">
        <v>2744</v>
      </c>
      <c r="I489" s="1544" t="s">
        <v>486</v>
      </c>
      <c r="J489" s="1544" t="s">
        <v>2745</v>
      </c>
      <c r="K489" s="1544"/>
      <c r="L489" s="1544"/>
      <c r="M489" s="1544"/>
      <c r="N489" s="1544"/>
      <c r="O489" s="1544"/>
    </row>
    <row r="490" spans="8:15">
      <c r="H490" s="1543" t="s">
        <v>2746</v>
      </c>
      <c r="I490" s="1544" t="s">
        <v>486</v>
      </c>
      <c r="J490" s="1544" t="s">
        <v>2747</v>
      </c>
      <c r="K490" s="1544"/>
      <c r="L490" s="1544"/>
      <c r="M490" s="1544"/>
      <c r="N490" s="1544"/>
      <c r="O490" s="1544"/>
    </row>
    <row r="491" spans="8:15">
      <c r="H491" s="1543" t="s">
        <v>2748</v>
      </c>
      <c r="I491" s="1544" t="s">
        <v>486</v>
      </c>
      <c r="J491" s="1544" t="s">
        <v>2749</v>
      </c>
      <c r="K491" s="1544"/>
      <c r="L491" s="1544"/>
      <c r="M491" s="1544"/>
      <c r="N491" s="1544"/>
      <c r="O491" s="1544"/>
    </row>
    <row r="492" spans="8:15">
      <c r="H492" s="1543" t="s">
        <v>2750</v>
      </c>
      <c r="I492" s="1544" t="s">
        <v>486</v>
      </c>
      <c r="J492" s="1544" t="s">
        <v>2751</v>
      </c>
      <c r="K492" s="1544"/>
      <c r="L492" s="1544"/>
      <c r="M492" s="1544"/>
      <c r="N492" s="1544"/>
      <c r="O492" s="1544"/>
    </row>
    <row r="493" spans="8:15">
      <c r="H493" s="1543" t="s">
        <v>2752</v>
      </c>
      <c r="I493" s="1544" t="s">
        <v>486</v>
      </c>
      <c r="J493" s="1544" t="s">
        <v>2753</v>
      </c>
      <c r="K493" s="1544"/>
      <c r="L493" s="1544"/>
      <c r="M493" s="1544"/>
      <c r="N493" s="1544"/>
      <c r="O493" s="1544"/>
    </row>
    <row r="494" spans="8:15">
      <c r="H494" s="1543" t="s">
        <v>2754</v>
      </c>
      <c r="I494" s="1544" t="s">
        <v>486</v>
      </c>
      <c r="J494" s="1544" t="s">
        <v>2755</v>
      </c>
      <c r="K494" s="1544"/>
      <c r="L494" s="1544"/>
      <c r="M494" s="1544"/>
      <c r="N494" s="1544"/>
      <c r="O494" s="1544"/>
    </row>
    <row r="495" spans="8:15">
      <c r="H495" s="1543" t="s">
        <v>2756</v>
      </c>
      <c r="I495" s="1544" t="s">
        <v>486</v>
      </c>
      <c r="J495" s="1544" t="s">
        <v>2757</v>
      </c>
      <c r="K495" s="1544"/>
      <c r="L495" s="1544"/>
      <c r="M495" s="1544"/>
      <c r="N495" s="1544"/>
      <c r="O495" s="1544"/>
    </row>
    <row r="496" spans="8:15">
      <c r="H496" s="1543" t="s">
        <v>2758</v>
      </c>
      <c r="I496" s="1544" t="s">
        <v>486</v>
      </c>
      <c r="J496" s="1544" t="s">
        <v>2759</v>
      </c>
      <c r="K496" s="1544"/>
      <c r="L496" s="1544"/>
      <c r="M496" s="1544"/>
      <c r="N496" s="1544"/>
      <c r="O496" s="1544"/>
    </row>
    <row r="497" spans="8:15">
      <c r="H497" s="1543" t="s">
        <v>2760</v>
      </c>
      <c r="I497" s="1544" t="s">
        <v>486</v>
      </c>
      <c r="J497" s="1544" t="s">
        <v>2761</v>
      </c>
      <c r="K497" s="1544"/>
      <c r="L497" s="1544"/>
      <c r="M497" s="1544"/>
      <c r="N497" s="1544"/>
      <c r="O497" s="1544"/>
    </row>
    <row r="498" spans="8:15">
      <c r="H498" s="1543" t="s">
        <v>2762</v>
      </c>
      <c r="I498" s="1544" t="s">
        <v>486</v>
      </c>
      <c r="J498" s="1544" t="s">
        <v>2763</v>
      </c>
      <c r="K498" s="1544"/>
      <c r="L498" s="1544"/>
      <c r="M498" s="1544"/>
      <c r="N498" s="1544"/>
      <c r="O498" s="1544"/>
    </row>
    <row r="499" spans="8:15">
      <c r="H499" s="1543" t="s">
        <v>2764</v>
      </c>
      <c r="I499" s="1544" t="s">
        <v>486</v>
      </c>
      <c r="J499" s="1544" t="s">
        <v>2765</v>
      </c>
      <c r="K499" s="1544"/>
      <c r="L499" s="1544"/>
      <c r="M499" s="1544"/>
      <c r="N499" s="1544"/>
      <c r="O499" s="1544"/>
    </row>
    <row r="500" spans="8:15">
      <c r="H500" s="1543" t="s">
        <v>2766</v>
      </c>
      <c r="I500" s="1544" t="s">
        <v>486</v>
      </c>
      <c r="J500" s="1544" t="s">
        <v>2767</v>
      </c>
      <c r="K500" s="1544"/>
      <c r="L500" s="1544"/>
      <c r="M500" s="1544"/>
      <c r="N500" s="1544"/>
      <c r="O500" s="1544"/>
    </row>
    <row r="501" spans="8:15">
      <c r="H501" s="1543" t="s">
        <v>2768</v>
      </c>
      <c r="I501" s="1544" t="s">
        <v>486</v>
      </c>
      <c r="J501" s="1544" t="s">
        <v>2769</v>
      </c>
      <c r="K501" s="1544"/>
      <c r="L501" s="1544"/>
      <c r="M501" s="1544"/>
      <c r="N501" s="1544"/>
      <c r="O501" s="1544"/>
    </row>
    <row r="502" spans="8:15">
      <c r="H502" s="1543" t="s">
        <v>2770</v>
      </c>
      <c r="I502" s="1544" t="s">
        <v>486</v>
      </c>
      <c r="J502" s="1544" t="s">
        <v>2771</v>
      </c>
      <c r="K502" s="1544"/>
      <c r="L502" s="1544"/>
      <c r="M502" s="1544"/>
      <c r="N502" s="1544"/>
      <c r="O502" s="1544"/>
    </row>
    <row r="503" spans="8:15">
      <c r="H503" s="1543" t="s">
        <v>2772</v>
      </c>
      <c r="I503" s="1544" t="s">
        <v>486</v>
      </c>
      <c r="J503" s="1544" t="s">
        <v>2773</v>
      </c>
      <c r="K503" s="1544"/>
      <c r="L503" s="1544"/>
      <c r="M503" s="1544"/>
      <c r="N503" s="1544"/>
      <c r="O503" s="1544"/>
    </row>
    <row r="504" spans="8:15">
      <c r="H504" s="1543" t="s">
        <v>2774</v>
      </c>
      <c r="I504" s="1544" t="s">
        <v>486</v>
      </c>
      <c r="J504" s="1544" t="s">
        <v>2775</v>
      </c>
      <c r="K504" s="1544"/>
      <c r="L504" s="1544"/>
      <c r="M504" s="1544"/>
      <c r="N504" s="1544"/>
      <c r="O504" s="1544"/>
    </row>
    <row r="505" spans="8:15">
      <c r="H505" s="1543" t="s">
        <v>2776</v>
      </c>
      <c r="I505" s="1544" t="s">
        <v>486</v>
      </c>
      <c r="J505" s="1544" t="s">
        <v>2777</v>
      </c>
      <c r="K505" s="1544"/>
      <c r="L505" s="1544"/>
      <c r="M505" s="1544"/>
      <c r="N505" s="1544"/>
      <c r="O505" s="1544"/>
    </row>
    <row r="506" spans="8:15">
      <c r="H506" s="1543" t="s">
        <v>2778</v>
      </c>
      <c r="I506" s="1544" t="s">
        <v>486</v>
      </c>
      <c r="J506" s="1544" t="s">
        <v>2779</v>
      </c>
      <c r="K506" s="1544"/>
      <c r="L506" s="1544"/>
      <c r="M506" s="1544"/>
      <c r="N506" s="1544"/>
      <c r="O506" s="1544"/>
    </row>
    <row r="507" spans="8:15">
      <c r="H507" s="1543" t="s">
        <v>2780</v>
      </c>
      <c r="I507" s="1544" t="s">
        <v>486</v>
      </c>
      <c r="J507" s="1544" t="s">
        <v>2694</v>
      </c>
      <c r="K507" s="1544"/>
      <c r="L507" s="1544"/>
      <c r="M507" s="1544"/>
      <c r="N507" s="1544"/>
      <c r="O507" s="1544"/>
    </row>
    <row r="508" spans="8:15">
      <c r="H508" s="1543" t="s">
        <v>2781</v>
      </c>
      <c r="I508" s="1544" t="s">
        <v>486</v>
      </c>
      <c r="J508" s="1544" t="s">
        <v>2782</v>
      </c>
      <c r="K508" s="1544"/>
      <c r="L508" s="1544"/>
      <c r="M508" s="1544"/>
      <c r="N508" s="1544"/>
      <c r="O508" s="1544"/>
    </row>
    <row r="509" spans="8:15">
      <c r="H509" s="1543" t="s">
        <v>2783</v>
      </c>
      <c r="I509" s="1544" t="s">
        <v>486</v>
      </c>
      <c r="J509" s="1544" t="s">
        <v>2784</v>
      </c>
      <c r="K509" s="1544"/>
      <c r="L509" s="1544"/>
      <c r="M509" s="1544"/>
      <c r="N509" s="1544"/>
      <c r="O509" s="1544"/>
    </row>
    <row r="510" spans="8:15">
      <c r="H510" s="1543" t="s">
        <v>2785</v>
      </c>
      <c r="I510" s="1544" t="s">
        <v>486</v>
      </c>
      <c r="J510" s="1544" t="s">
        <v>2786</v>
      </c>
      <c r="K510" s="1544"/>
      <c r="L510" s="1544"/>
      <c r="M510" s="1544"/>
      <c r="N510" s="1544"/>
      <c r="O510" s="1544"/>
    </row>
    <row r="511" spans="8:15">
      <c r="H511" s="1543" t="s">
        <v>2787</v>
      </c>
      <c r="I511" s="1544" t="s">
        <v>486</v>
      </c>
      <c r="J511" s="1544" t="s">
        <v>2788</v>
      </c>
      <c r="K511" s="1544"/>
      <c r="L511" s="1544"/>
      <c r="M511" s="1544"/>
      <c r="N511" s="1544"/>
      <c r="O511" s="1544"/>
    </row>
    <row r="512" spans="8:15">
      <c r="H512" s="1543" t="s">
        <v>2789</v>
      </c>
      <c r="I512" s="1544" t="s">
        <v>486</v>
      </c>
      <c r="J512" s="1544" t="s">
        <v>2790</v>
      </c>
      <c r="K512" s="1544"/>
      <c r="L512" s="1544"/>
      <c r="M512" s="1544"/>
      <c r="N512" s="1544"/>
      <c r="O512" s="1544"/>
    </row>
    <row r="513" spans="8:15">
      <c r="H513" s="1543" t="s">
        <v>2791</v>
      </c>
      <c r="I513" s="1544" t="s">
        <v>486</v>
      </c>
      <c r="J513" s="1544" t="s">
        <v>2792</v>
      </c>
      <c r="K513" s="1544"/>
      <c r="L513" s="1544"/>
      <c r="M513" s="1544"/>
      <c r="N513" s="1544"/>
      <c r="O513" s="1544"/>
    </row>
    <row r="514" spans="8:15">
      <c r="H514" s="1543" t="s">
        <v>2793</v>
      </c>
      <c r="I514" s="1544" t="s">
        <v>486</v>
      </c>
      <c r="J514" s="1544" t="s">
        <v>2794</v>
      </c>
      <c r="K514" s="1544"/>
      <c r="L514" s="1544"/>
      <c r="M514" s="1544"/>
      <c r="N514" s="1544"/>
      <c r="O514" s="1544"/>
    </row>
    <row r="515" spans="8:15">
      <c r="H515" s="1543" t="s">
        <v>2795</v>
      </c>
      <c r="I515" s="1544" t="s">
        <v>486</v>
      </c>
      <c r="J515" s="1544" t="s">
        <v>2796</v>
      </c>
      <c r="K515" s="1544"/>
      <c r="L515" s="1544"/>
      <c r="M515" s="1544"/>
      <c r="N515" s="1544"/>
      <c r="O515" s="1544"/>
    </row>
    <row r="516" spans="8:15">
      <c r="H516" s="1543" t="s">
        <v>2797</v>
      </c>
      <c r="I516" s="1544" t="s">
        <v>486</v>
      </c>
      <c r="J516" s="1544" t="s">
        <v>2798</v>
      </c>
      <c r="K516" s="1544"/>
      <c r="L516" s="1544"/>
      <c r="M516" s="1544"/>
      <c r="N516" s="1544"/>
      <c r="O516" s="1544"/>
    </row>
    <row r="517" spans="8:15">
      <c r="H517" s="1543" t="s">
        <v>2799</v>
      </c>
      <c r="I517" s="1544" t="s">
        <v>486</v>
      </c>
      <c r="J517" s="1544" t="s">
        <v>2800</v>
      </c>
      <c r="K517" s="1544"/>
      <c r="L517" s="1544"/>
      <c r="M517" s="1544"/>
      <c r="N517" s="1544"/>
      <c r="O517" s="1544"/>
    </row>
    <row r="518" spans="8:15">
      <c r="H518" s="1543" t="s">
        <v>2801</v>
      </c>
      <c r="I518" s="1544" t="s">
        <v>486</v>
      </c>
      <c r="J518" s="1544" t="s">
        <v>2802</v>
      </c>
      <c r="K518" s="1544"/>
      <c r="L518" s="1544"/>
      <c r="M518" s="1544"/>
      <c r="N518" s="1544"/>
      <c r="O518" s="1544"/>
    </row>
    <row r="519" spans="8:15">
      <c r="H519" s="1543" t="s">
        <v>2803</v>
      </c>
      <c r="I519" s="1544" t="s">
        <v>486</v>
      </c>
      <c r="J519" s="1544" t="s">
        <v>2804</v>
      </c>
      <c r="K519" s="1544"/>
      <c r="L519" s="1544"/>
      <c r="M519" s="1544"/>
      <c r="N519" s="1544"/>
      <c r="O519" s="1544"/>
    </row>
    <row r="520" spans="8:15">
      <c r="H520" s="1543" t="s">
        <v>2805</v>
      </c>
      <c r="I520" s="1544" t="s">
        <v>486</v>
      </c>
      <c r="J520" s="1544" t="s">
        <v>2806</v>
      </c>
      <c r="K520" s="1544"/>
      <c r="L520" s="1544"/>
      <c r="M520" s="1544"/>
      <c r="N520" s="1544"/>
      <c r="O520" s="1544"/>
    </row>
    <row r="521" spans="8:15">
      <c r="H521" s="1543" t="s">
        <v>2807</v>
      </c>
      <c r="I521" s="1544" t="s">
        <v>486</v>
      </c>
      <c r="J521" s="1544" t="s">
        <v>2808</v>
      </c>
      <c r="K521" s="1544"/>
      <c r="L521" s="1544"/>
      <c r="M521" s="1544"/>
      <c r="N521" s="1544"/>
      <c r="O521" s="1544"/>
    </row>
    <row r="522" spans="8:15">
      <c r="H522" s="1543" t="s">
        <v>2809</v>
      </c>
      <c r="I522" s="1544" t="s">
        <v>486</v>
      </c>
      <c r="J522" s="1544" t="s">
        <v>2810</v>
      </c>
      <c r="K522" s="1544"/>
      <c r="L522" s="1544"/>
      <c r="M522" s="1544"/>
      <c r="N522" s="1544"/>
      <c r="O522" s="1544"/>
    </row>
    <row r="523" spans="8:15">
      <c r="H523" s="1543" t="s">
        <v>2811</v>
      </c>
      <c r="I523" s="1544" t="s">
        <v>486</v>
      </c>
      <c r="J523" s="1544" t="s">
        <v>2812</v>
      </c>
      <c r="K523" s="1544"/>
      <c r="L523" s="1544"/>
      <c r="M523" s="1544"/>
      <c r="N523" s="1544"/>
      <c r="O523" s="1544"/>
    </row>
    <row r="524" spans="8:15">
      <c r="H524" s="1543" t="s">
        <v>2813</v>
      </c>
      <c r="I524" s="1544" t="s">
        <v>486</v>
      </c>
      <c r="J524" s="1544" t="s">
        <v>2814</v>
      </c>
      <c r="K524" s="1544"/>
      <c r="L524" s="1544"/>
      <c r="M524" s="1544"/>
      <c r="N524" s="1544"/>
      <c r="O524" s="1544"/>
    </row>
    <row r="525" spans="8:15">
      <c r="H525" s="1543" t="s">
        <v>2815</v>
      </c>
      <c r="I525" s="1544" t="s">
        <v>486</v>
      </c>
      <c r="J525" s="1544" t="s">
        <v>2816</v>
      </c>
      <c r="K525" s="1544"/>
      <c r="L525" s="1544"/>
      <c r="M525" s="1544"/>
      <c r="N525" s="1544"/>
      <c r="O525" s="1544"/>
    </row>
    <row r="526" spans="8:15">
      <c r="H526" s="1543" t="s">
        <v>2817</v>
      </c>
      <c r="I526" s="1544" t="s">
        <v>486</v>
      </c>
      <c r="J526" s="1544" t="s">
        <v>2818</v>
      </c>
      <c r="K526" s="1544"/>
      <c r="L526" s="1544"/>
      <c r="M526" s="1544"/>
      <c r="N526" s="1544"/>
      <c r="O526" s="1544"/>
    </row>
    <row r="527" spans="8:15">
      <c r="H527" s="1543" t="s">
        <v>2819</v>
      </c>
      <c r="I527" s="1544" t="s">
        <v>486</v>
      </c>
      <c r="J527" s="1544" t="s">
        <v>2820</v>
      </c>
      <c r="K527" s="1544"/>
      <c r="L527" s="1544"/>
      <c r="M527" s="1544"/>
      <c r="N527" s="1544"/>
      <c r="O527" s="1544"/>
    </row>
    <row r="528" spans="8:15">
      <c r="H528" s="1543" t="s">
        <v>2821</v>
      </c>
      <c r="I528" s="1544" t="s">
        <v>486</v>
      </c>
      <c r="J528" s="1544" t="s">
        <v>2822</v>
      </c>
      <c r="K528" s="1544"/>
      <c r="L528" s="1544"/>
      <c r="M528" s="1544"/>
      <c r="N528" s="1544"/>
      <c r="O528" s="1544"/>
    </row>
    <row r="529" spans="8:15">
      <c r="H529" s="1543" t="s">
        <v>2823</v>
      </c>
      <c r="I529" s="1544" t="s">
        <v>486</v>
      </c>
      <c r="J529" s="1544" t="s">
        <v>2824</v>
      </c>
      <c r="K529" s="1544"/>
      <c r="L529" s="1544"/>
      <c r="M529" s="1544"/>
      <c r="N529" s="1544"/>
      <c r="O529" s="1544"/>
    </row>
    <row r="530" spans="8:15">
      <c r="H530" s="1543" t="s">
        <v>2825</v>
      </c>
      <c r="I530" s="1544" t="s">
        <v>486</v>
      </c>
      <c r="J530" s="1544" t="s">
        <v>2826</v>
      </c>
      <c r="K530" s="1544"/>
      <c r="L530" s="1544"/>
      <c r="M530" s="1544"/>
      <c r="N530" s="1544"/>
      <c r="O530" s="1544"/>
    </row>
    <row r="531" spans="8:15">
      <c r="H531" s="1543" t="s">
        <v>2827</v>
      </c>
      <c r="I531" s="1544" t="s">
        <v>486</v>
      </c>
      <c r="J531" s="1544" t="s">
        <v>2828</v>
      </c>
      <c r="K531" s="1544"/>
      <c r="L531" s="1544"/>
      <c r="M531" s="1544"/>
      <c r="N531" s="1544"/>
      <c r="O531" s="1544"/>
    </row>
    <row r="532" spans="8:15">
      <c r="H532" s="1543" t="s">
        <v>2829</v>
      </c>
      <c r="I532" s="1544" t="s">
        <v>486</v>
      </c>
      <c r="J532" s="1544" t="s">
        <v>2830</v>
      </c>
      <c r="K532" s="1544"/>
      <c r="L532" s="1544"/>
      <c r="M532" s="1544"/>
      <c r="N532" s="1544"/>
      <c r="O532" s="1544"/>
    </row>
    <row r="533" spans="8:15">
      <c r="H533" s="1543" t="s">
        <v>2831</v>
      </c>
      <c r="I533" s="1544" t="s">
        <v>486</v>
      </c>
      <c r="J533" s="1544" t="s">
        <v>2832</v>
      </c>
      <c r="K533" s="1544"/>
      <c r="L533" s="1544"/>
      <c r="M533" s="1544"/>
      <c r="N533" s="1544"/>
      <c r="O533" s="1544"/>
    </row>
    <row r="534" spans="8:15">
      <c r="H534" s="1543" t="s">
        <v>2833</v>
      </c>
      <c r="I534" s="1544" t="s">
        <v>486</v>
      </c>
      <c r="J534" s="1544" t="s">
        <v>2834</v>
      </c>
      <c r="K534" s="1544"/>
      <c r="L534" s="1544"/>
      <c r="M534" s="1544"/>
      <c r="N534" s="1544"/>
      <c r="O534" s="1544"/>
    </row>
    <row r="535" spans="8:15">
      <c r="H535" s="1543" t="s">
        <v>2835</v>
      </c>
      <c r="I535" s="1544" t="s">
        <v>515</v>
      </c>
      <c r="J535" s="1544"/>
      <c r="K535" s="1544">
        <f>ROW()</f>
        <v>535</v>
      </c>
      <c r="L535" s="1544">
        <f>K535+COUNTIF($I$122:$I$1909,I535)-1</f>
        <v>579</v>
      </c>
      <c r="M535" s="1544"/>
      <c r="N535" s="1544"/>
      <c r="O535" s="1544"/>
    </row>
    <row r="536" spans="8:15">
      <c r="H536" s="1543" t="s">
        <v>1363</v>
      </c>
      <c r="I536" s="1544" t="s">
        <v>515</v>
      </c>
      <c r="J536" s="1544" t="s">
        <v>1362</v>
      </c>
      <c r="K536" s="1544"/>
      <c r="L536" s="1544"/>
      <c r="M536" s="1544"/>
      <c r="N536" s="1544"/>
      <c r="O536" s="1544"/>
    </row>
    <row r="537" spans="8:15">
      <c r="H537" s="1543" t="s">
        <v>2836</v>
      </c>
      <c r="I537" s="1544" t="s">
        <v>515</v>
      </c>
      <c r="J537" s="1544" t="s">
        <v>2837</v>
      </c>
      <c r="K537" s="1544"/>
      <c r="L537" s="1544"/>
      <c r="M537" s="1544"/>
      <c r="N537" s="1544"/>
      <c r="O537" s="1544"/>
    </row>
    <row r="538" spans="8:15">
      <c r="H538" s="1543" t="s">
        <v>2838</v>
      </c>
      <c r="I538" s="1544" t="s">
        <v>515</v>
      </c>
      <c r="J538" s="1544" t="s">
        <v>2839</v>
      </c>
      <c r="K538" s="1544"/>
      <c r="L538" s="1544"/>
      <c r="M538" s="1544"/>
      <c r="N538" s="1544"/>
      <c r="O538" s="1544"/>
    </row>
    <row r="539" spans="8:15">
      <c r="H539" s="1543" t="s">
        <v>2840</v>
      </c>
      <c r="I539" s="1544" t="s">
        <v>515</v>
      </c>
      <c r="J539" s="1544" t="s">
        <v>2841</v>
      </c>
      <c r="K539" s="1544"/>
      <c r="L539" s="1544"/>
      <c r="M539" s="1544"/>
      <c r="N539" s="1544"/>
      <c r="O539" s="1544"/>
    </row>
    <row r="540" spans="8:15">
      <c r="H540" s="1543" t="s">
        <v>2842</v>
      </c>
      <c r="I540" s="1544" t="s">
        <v>515</v>
      </c>
      <c r="J540" s="1544" t="s">
        <v>2843</v>
      </c>
      <c r="K540" s="1544"/>
      <c r="L540" s="1544"/>
      <c r="M540" s="1544"/>
      <c r="N540" s="1544"/>
      <c r="O540" s="1544"/>
    </row>
    <row r="541" spans="8:15">
      <c r="H541" s="1543" t="s">
        <v>2844</v>
      </c>
      <c r="I541" s="1544" t="s">
        <v>515</v>
      </c>
      <c r="J541" s="1544" t="s">
        <v>2845</v>
      </c>
      <c r="K541" s="1544"/>
      <c r="L541" s="1544"/>
      <c r="M541" s="1544"/>
      <c r="N541" s="1544"/>
      <c r="O541" s="1544"/>
    </row>
    <row r="542" spans="8:15">
      <c r="H542" s="1543" t="s">
        <v>2846</v>
      </c>
      <c r="I542" s="1544" t="s">
        <v>515</v>
      </c>
      <c r="J542" s="1544" t="s">
        <v>2847</v>
      </c>
      <c r="K542" s="1544"/>
      <c r="L542" s="1544"/>
      <c r="M542" s="1544"/>
      <c r="N542" s="1544"/>
      <c r="O542" s="1544"/>
    </row>
    <row r="543" spans="8:15">
      <c r="H543" s="1543" t="s">
        <v>2848</v>
      </c>
      <c r="I543" s="1544" t="s">
        <v>515</v>
      </c>
      <c r="J543" s="1544" t="s">
        <v>2849</v>
      </c>
      <c r="K543" s="1544"/>
      <c r="L543" s="1544"/>
      <c r="M543" s="1544"/>
      <c r="N543" s="1544"/>
      <c r="O543" s="1544"/>
    </row>
    <row r="544" spans="8:15">
      <c r="H544" s="1543" t="s">
        <v>2850</v>
      </c>
      <c r="I544" s="1544" t="s">
        <v>515</v>
      </c>
      <c r="J544" s="1544" t="s">
        <v>2851</v>
      </c>
      <c r="K544" s="1544"/>
      <c r="L544" s="1544"/>
      <c r="M544" s="1544"/>
      <c r="N544" s="1544"/>
      <c r="O544" s="1544"/>
    </row>
    <row r="545" spans="8:15">
      <c r="H545" s="1543" t="s">
        <v>2852</v>
      </c>
      <c r="I545" s="1544" t="s">
        <v>515</v>
      </c>
      <c r="J545" s="1544" t="s">
        <v>2853</v>
      </c>
      <c r="K545" s="1544"/>
      <c r="L545" s="1544"/>
      <c r="M545" s="1544"/>
      <c r="N545" s="1544"/>
      <c r="O545" s="1544"/>
    </row>
    <row r="546" spans="8:15">
      <c r="H546" s="1543" t="s">
        <v>2854</v>
      </c>
      <c r="I546" s="1544" t="s">
        <v>515</v>
      </c>
      <c r="J546" s="1544" t="s">
        <v>2855</v>
      </c>
      <c r="K546" s="1544"/>
      <c r="L546" s="1544"/>
      <c r="M546" s="1544"/>
      <c r="N546" s="1544"/>
      <c r="O546" s="1544"/>
    </row>
    <row r="547" spans="8:15">
      <c r="H547" s="1543" t="s">
        <v>2856</v>
      </c>
      <c r="I547" s="1544" t="s">
        <v>515</v>
      </c>
      <c r="J547" s="1544" t="s">
        <v>2857</v>
      </c>
      <c r="K547" s="1544"/>
      <c r="L547" s="1544"/>
      <c r="M547" s="1544"/>
      <c r="N547" s="1544"/>
      <c r="O547" s="1544"/>
    </row>
    <row r="548" spans="8:15">
      <c r="H548" s="1543" t="s">
        <v>2858</v>
      </c>
      <c r="I548" s="1544" t="s">
        <v>515</v>
      </c>
      <c r="J548" s="1544" t="s">
        <v>2859</v>
      </c>
      <c r="K548" s="1544"/>
      <c r="L548" s="1544"/>
      <c r="M548" s="1544"/>
      <c r="N548" s="1544"/>
      <c r="O548" s="1544"/>
    </row>
    <row r="549" spans="8:15">
      <c r="H549" s="1543" t="s">
        <v>2860</v>
      </c>
      <c r="I549" s="1544" t="s">
        <v>515</v>
      </c>
      <c r="J549" s="1544" t="s">
        <v>2861</v>
      </c>
      <c r="K549" s="1544"/>
      <c r="L549" s="1544"/>
      <c r="M549" s="1544"/>
      <c r="N549" s="1544"/>
      <c r="O549" s="1544"/>
    </row>
    <row r="550" spans="8:15">
      <c r="H550" s="1543" t="s">
        <v>2862</v>
      </c>
      <c r="I550" s="1544" t="s">
        <v>515</v>
      </c>
      <c r="J550" s="1544" t="s">
        <v>2863</v>
      </c>
      <c r="K550" s="1544"/>
      <c r="L550" s="1544"/>
      <c r="M550" s="1544"/>
      <c r="N550" s="1544"/>
      <c r="O550" s="1544"/>
    </row>
    <row r="551" spans="8:15">
      <c r="H551" s="1543" t="s">
        <v>1365</v>
      </c>
      <c r="I551" s="1544" t="s">
        <v>515</v>
      </c>
      <c r="J551" s="1544" t="s">
        <v>1364</v>
      </c>
      <c r="K551" s="1544"/>
      <c r="L551" s="1544"/>
      <c r="M551" s="1544"/>
      <c r="N551" s="1544"/>
      <c r="O551" s="1544"/>
    </row>
    <row r="552" spans="8:15">
      <c r="H552" s="1543" t="s">
        <v>2864</v>
      </c>
      <c r="I552" s="1544" t="s">
        <v>515</v>
      </c>
      <c r="J552" s="1544" t="s">
        <v>2865</v>
      </c>
      <c r="K552" s="1544"/>
      <c r="L552" s="1544"/>
      <c r="M552" s="1544"/>
      <c r="N552" s="1544"/>
      <c r="O552" s="1544"/>
    </row>
    <row r="553" spans="8:15">
      <c r="H553" s="1543" t="s">
        <v>2866</v>
      </c>
      <c r="I553" s="1544" t="s">
        <v>515</v>
      </c>
      <c r="J553" s="1544" t="s">
        <v>2867</v>
      </c>
      <c r="K553" s="1544"/>
      <c r="L553" s="1544"/>
      <c r="M553" s="1544"/>
      <c r="N553" s="1544"/>
      <c r="O553" s="1544"/>
    </row>
    <row r="554" spans="8:15">
      <c r="H554" s="1543" t="s">
        <v>2868</v>
      </c>
      <c r="I554" s="1544" t="s">
        <v>515</v>
      </c>
      <c r="J554" s="1544" t="s">
        <v>2869</v>
      </c>
      <c r="K554" s="1544"/>
      <c r="L554" s="1544"/>
      <c r="M554" s="1544"/>
      <c r="N554" s="1544"/>
      <c r="O554" s="1544"/>
    </row>
    <row r="555" spans="8:15">
      <c r="H555" s="1543" t="s">
        <v>2870</v>
      </c>
      <c r="I555" s="1544" t="s">
        <v>515</v>
      </c>
      <c r="J555" s="1544" t="s">
        <v>2871</v>
      </c>
      <c r="K555" s="1544"/>
      <c r="L555" s="1544"/>
      <c r="M555" s="1544"/>
      <c r="N555" s="1544"/>
      <c r="O555" s="1544"/>
    </row>
    <row r="556" spans="8:15">
      <c r="H556" s="1543" t="s">
        <v>2872</v>
      </c>
      <c r="I556" s="1544" t="s">
        <v>515</v>
      </c>
      <c r="J556" s="1544" t="s">
        <v>2873</v>
      </c>
      <c r="K556" s="1544"/>
      <c r="L556" s="1544"/>
      <c r="M556" s="1544"/>
      <c r="N556" s="1544"/>
      <c r="O556" s="1544"/>
    </row>
    <row r="557" spans="8:15">
      <c r="H557" s="1543" t="s">
        <v>2874</v>
      </c>
      <c r="I557" s="1544" t="s">
        <v>515</v>
      </c>
      <c r="J557" s="1544" t="s">
        <v>2875</v>
      </c>
      <c r="K557" s="1544"/>
      <c r="L557" s="1544"/>
      <c r="M557" s="1544"/>
      <c r="N557" s="1544"/>
      <c r="O557" s="1544"/>
    </row>
    <row r="558" spans="8:15">
      <c r="H558" s="1543" t="s">
        <v>2876</v>
      </c>
      <c r="I558" s="1544" t="s">
        <v>515</v>
      </c>
      <c r="J558" s="1544" t="s">
        <v>2877</v>
      </c>
      <c r="K558" s="1544"/>
      <c r="L558" s="1544"/>
      <c r="M558" s="1544"/>
      <c r="N558" s="1544"/>
      <c r="O558" s="1544"/>
    </row>
    <row r="559" spans="8:15">
      <c r="H559" s="1543" t="s">
        <v>2878</v>
      </c>
      <c r="I559" s="1544" t="s">
        <v>515</v>
      </c>
      <c r="J559" s="1544" t="s">
        <v>2879</v>
      </c>
      <c r="K559" s="1544"/>
      <c r="L559" s="1544"/>
      <c r="M559" s="1544"/>
      <c r="N559" s="1544"/>
      <c r="O559" s="1544"/>
    </row>
    <row r="560" spans="8:15">
      <c r="H560" s="1543" t="s">
        <v>2880</v>
      </c>
      <c r="I560" s="1544" t="s">
        <v>515</v>
      </c>
      <c r="J560" s="1544" t="s">
        <v>2881</v>
      </c>
      <c r="K560" s="1544"/>
      <c r="L560" s="1544"/>
      <c r="M560" s="1544"/>
      <c r="N560" s="1544"/>
      <c r="O560" s="1544"/>
    </row>
    <row r="561" spans="8:15">
      <c r="H561" s="1543" t="s">
        <v>2882</v>
      </c>
      <c r="I561" s="1544" t="s">
        <v>515</v>
      </c>
      <c r="J561" s="1544" t="s">
        <v>2883</v>
      </c>
      <c r="K561" s="1544"/>
      <c r="L561" s="1544"/>
      <c r="M561" s="1544"/>
      <c r="N561" s="1544"/>
      <c r="O561" s="1544"/>
    </row>
    <row r="562" spans="8:15">
      <c r="H562" s="1543" t="s">
        <v>2884</v>
      </c>
      <c r="I562" s="1544" t="s">
        <v>515</v>
      </c>
      <c r="J562" s="1544" t="s">
        <v>2885</v>
      </c>
      <c r="K562" s="1544"/>
      <c r="L562" s="1544"/>
      <c r="M562" s="1544"/>
      <c r="N562" s="1544"/>
      <c r="O562" s="1544"/>
    </row>
    <row r="563" spans="8:15">
      <c r="H563" s="1543" t="s">
        <v>2886</v>
      </c>
      <c r="I563" s="1544" t="s">
        <v>515</v>
      </c>
      <c r="J563" s="1544" t="s">
        <v>2887</v>
      </c>
      <c r="K563" s="1544"/>
      <c r="L563" s="1544"/>
      <c r="M563" s="1544"/>
      <c r="N563" s="1544"/>
      <c r="O563" s="1544"/>
    </row>
    <row r="564" spans="8:15">
      <c r="H564" s="1543" t="s">
        <v>2888</v>
      </c>
      <c r="I564" s="1544" t="s">
        <v>515</v>
      </c>
      <c r="J564" s="1544" t="s">
        <v>2889</v>
      </c>
      <c r="K564" s="1544"/>
      <c r="L564" s="1544"/>
      <c r="M564" s="1544"/>
      <c r="N564" s="1544"/>
      <c r="O564" s="1544"/>
    </row>
    <row r="565" spans="8:15">
      <c r="H565" s="1543" t="s">
        <v>2890</v>
      </c>
      <c r="I565" s="1544" t="s">
        <v>515</v>
      </c>
      <c r="J565" s="1544" t="s">
        <v>2891</v>
      </c>
      <c r="K565" s="1544"/>
      <c r="L565" s="1544"/>
      <c r="M565" s="1544"/>
      <c r="N565" s="1544"/>
      <c r="O565" s="1544"/>
    </row>
    <row r="566" spans="8:15">
      <c r="H566" s="1543" t="s">
        <v>2892</v>
      </c>
      <c r="I566" s="1544" t="s">
        <v>515</v>
      </c>
      <c r="J566" s="1544" t="s">
        <v>2893</v>
      </c>
      <c r="K566" s="1544"/>
      <c r="L566" s="1544"/>
      <c r="M566" s="1544"/>
      <c r="N566" s="1544"/>
      <c r="O566" s="1544"/>
    </row>
    <row r="567" spans="8:15">
      <c r="H567" s="1543" t="s">
        <v>2894</v>
      </c>
      <c r="I567" s="1544" t="s">
        <v>515</v>
      </c>
      <c r="J567" s="1544" t="s">
        <v>2895</v>
      </c>
      <c r="K567" s="1544"/>
      <c r="L567" s="1544"/>
      <c r="M567" s="1544"/>
      <c r="N567" s="1544"/>
      <c r="O567" s="1544"/>
    </row>
    <row r="568" spans="8:15">
      <c r="H568" s="1543" t="s">
        <v>2896</v>
      </c>
      <c r="I568" s="1544" t="s">
        <v>515</v>
      </c>
      <c r="J568" s="1544" t="s">
        <v>2897</v>
      </c>
      <c r="K568" s="1544"/>
      <c r="L568" s="1544"/>
      <c r="M568" s="1544"/>
      <c r="N568" s="1544"/>
      <c r="O568" s="1544"/>
    </row>
    <row r="569" spans="8:15">
      <c r="H569" s="1543" t="s">
        <v>2898</v>
      </c>
      <c r="I569" s="1544" t="s">
        <v>515</v>
      </c>
      <c r="J569" s="1544" t="s">
        <v>2899</v>
      </c>
      <c r="K569" s="1544"/>
      <c r="L569" s="1544"/>
      <c r="M569" s="1544"/>
      <c r="N569" s="1544"/>
      <c r="O569" s="1544"/>
    </row>
    <row r="570" spans="8:15">
      <c r="H570" s="1543" t="s">
        <v>2900</v>
      </c>
      <c r="I570" s="1544" t="s">
        <v>515</v>
      </c>
      <c r="J570" s="1544" t="s">
        <v>2901</v>
      </c>
      <c r="K570" s="1544"/>
      <c r="L570" s="1544"/>
      <c r="M570" s="1544"/>
      <c r="N570" s="1544"/>
      <c r="O570" s="1544"/>
    </row>
    <row r="571" spans="8:15">
      <c r="H571" s="1543" t="s">
        <v>2902</v>
      </c>
      <c r="I571" s="1544" t="s">
        <v>515</v>
      </c>
      <c r="J571" s="1544" t="s">
        <v>2903</v>
      </c>
      <c r="K571" s="1544"/>
      <c r="L571" s="1544"/>
      <c r="M571" s="1544"/>
      <c r="N571" s="1544"/>
      <c r="O571" s="1544"/>
    </row>
    <row r="572" spans="8:15">
      <c r="H572" s="1543" t="s">
        <v>2904</v>
      </c>
      <c r="I572" s="1544" t="s">
        <v>515</v>
      </c>
      <c r="J572" s="1544" t="s">
        <v>2905</v>
      </c>
      <c r="K572" s="1544"/>
      <c r="L572" s="1544"/>
      <c r="M572" s="1544"/>
      <c r="N572" s="1544"/>
      <c r="O572" s="1544"/>
    </row>
    <row r="573" spans="8:15">
      <c r="H573" s="1543" t="s">
        <v>2906</v>
      </c>
      <c r="I573" s="1544" t="s">
        <v>515</v>
      </c>
      <c r="J573" s="1544" t="s">
        <v>2907</v>
      </c>
      <c r="K573" s="1544"/>
      <c r="L573" s="1544"/>
      <c r="M573" s="1544"/>
      <c r="N573" s="1544"/>
      <c r="O573" s="1544"/>
    </row>
    <row r="574" spans="8:15">
      <c r="H574" s="1543" t="s">
        <v>2908</v>
      </c>
      <c r="I574" s="1544" t="s">
        <v>515</v>
      </c>
      <c r="J574" s="1544" t="s">
        <v>2909</v>
      </c>
      <c r="K574" s="1544"/>
      <c r="L574" s="1544"/>
      <c r="M574" s="1544"/>
      <c r="N574" s="1544"/>
      <c r="O574" s="1544"/>
    </row>
    <row r="575" spans="8:15">
      <c r="H575" s="1543" t="s">
        <v>2910</v>
      </c>
      <c r="I575" s="1544" t="s">
        <v>515</v>
      </c>
      <c r="J575" s="1544" t="s">
        <v>2911</v>
      </c>
      <c r="K575" s="1544"/>
      <c r="L575" s="1544"/>
      <c r="M575" s="1544"/>
      <c r="N575" s="1544"/>
      <c r="O575" s="1544"/>
    </row>
    <row r="576" spans="8:15">
      <c r="H576" s="1543" t="s">
        <v>2912</v>
      </c>
      <c r="I576" s="1544" t="s">
        <v>515</v>
      </c>
      <c r="J576" s="1544" t="s">
        <v>2913</v>
      </c>
      <c r="K576" s="1544"/>
      <c r="L576" s="1544"/>
      <c r="M576" s="1544"/>
      <c r="N576" s="1544"/>
      <c r="O576" s="1544"/>
    </row>
    <row r="577" spans="8:15">
      <c r="H577" s="1543" t="s">
        <v>2914</v>
      </c>
      <c r="I577" s="1544" t="s">
        <v>515</v>
      </c>
      <c r="J577" s="1544" t="s">
        <v>2915</v>
      </c>
      <c r="K577" s="1544"/>
      <c r="L577" s="1544"/>
      <c r="M577" s="1544"/>
      <c r="N577" s="1544"/>
      <c r="O577" s="1544"/>
    </row>
    <row r="578" spans="8:15">
      <c r="H578" s="1543" t="s">
        <v>2916</v>
      </c>
      <c r="I578" s="1544" t="s">
        <v>515</v>
      </c>
      <c r="J578" s="1544" t="s">
        <v>2917</v>
      </c>
      <c r="K578" s="1544"/>
      <c r="L578" s="1544"/>
      <c r="M578" s="1544"/>
      <c r="N578" s="1544"/>
      <c r="O578" s="1544"/>
    </row>
    <row r="579" spans="8:15">
      <c r="H579" s="1543" t="s">
        <v>2918</v>
      </c>
      <c r="I579" s="1544" t="s">
        <v>515</v>
      </c>
      <c r="J579" s="1544" t="s">
        <v>2919</v>
      </c>
      <c r="K579" s="1544"/>
      <c r="L579" s="1544"/>
      <c r="M579" s="1544"/>
      <c r="N579" s="1544"/>
      <c r="O579" s="1544"/>
    </row>
    <row r="580" spans="8:15">
      <c r="H580" s="1543" t="s">
        <v>2920</v>
      </c>
      <c r="I580" s="1544" t="s">
        <v>487</v>
      </c>
      <c r="J580" s="1544"/>
      <c r="K580" s="1544">
        <f>ROW()</f>
        <v>580</v>
      </c>
      <c r="L580" s="1544">
        <f>K580+COUNTIF($I$122:$I$1909,I580)-1</f>
        <v>605</v>
      </c>
      <c r="M580" s="1544"/>
      <c r="N580" s="1544"/>
      <c r="O580" s="1544"/>
    </row>
    <row r="581" spans="8:15">
      <c r="H581" s="1543" t="s">
        <v>1283</v>
      </c>
      <c r="I581" s="1544" t="s">
        <v>487</v>
      </c>
      <c r="J581" s="1544" t="s">
        <v>1282</v>
      </c>
      <c r="K581" s="1544"/>
      <c r="L581" s="1544"/>
      <c r="M581" s="1544"/>
      <c r="N581" s="1544"/>
      <c r="O581" s="1544"/>
    </row>
    <row r="582" spans="8:15">
      <c r="H582" s="1543" t="s">
        <v>2921</v>
      </c>
      <c r="I582" s="1544" t="s">
        <v>487</v>
      </c>
      <c r="J582" s="1544" t="s">
        <v>2922</v>
      </c>
      <c r="K582" s="1544"/>
      <c r="L582" s="1544"/>
      <c r="M582" s="1544"/>
      <c r="N582" s="1544"/>
      <c r="O582" s="1544"/>
    </row>
    <row r="583" spans="8:15">
      <c r="H583" s="1543" t="s">
        <v>2923</v>
      </c>
      <c r="I583" s="1544" t="s">
        <v>487</v>
      </c>
      <c r="J583" s="1544" t="s">
        <v>2924</v>
      </c>
      <c r="K583" s="1544"/>
      <c r="L583" s="1544"/>
      <c r="M583" s="1544"/>
      <c r="N583" s="1544"/>
      <c r="O583" s="1544"/>
    </row>
    <row r="584" spans="8:15">
      <c r="H584" s="1543" t="s">
        <v>2925</v>
      </c>
      <c r="I584" s="1544" t="s">
        <v>487</v>
      </c>
      <c r="J584" s="1544" t="s">
        <v>2926</v>
      </c>
      <c r="K584" s="1544"/>
      <c r="L584" s="1544"/>
      <c r="M584" s="1544"/>
      <c r="N584" s="1544"/>
      <c r="O584" s="1544"/>
    </row>
    <row r="585" spans="8:15">
      <c r="H585" s="1543" t="s">
        <v>2927</v>
      </c>
      <c r="I585" s="1544" t="s">
        <v>487</v>
      </c>
      <c r="J585" s="1544" t="s">
        <v>2928</v>
      </c>
      <c r="K585" s="1544"/>
      <c r="L585" s="1544"/>
      <c r="M585" s="1544"/>
      <c r="N585" s="1544"/>
      <c r="O585" s="1544"/>
    </row>
    <row r="586" spans="8:15">
      <c r="H586" s="1543" t="s">
        <v>2929</v>
      </c>
      <c r="I586" s="1544" t="s">
        <v>487</v>
      </c>
      <c r="J586" s="1544" t="s">
        <v>2930</v>
      </c>
      <c r="K586" s="1544"/>
      <c r="L586" s="1544"/>
      <c r="M586" s="1544"/>
      <c r="N586" s="1544"/>
      <c r="O586" s="1544"/>
    </row>
    <row r="587" spans="8:15">
      <c r="H587" s="1543" t="s">
        <v>2931</v>
      </c>
      <c r="I587" s="1544" t="s">
        <v>487</v>
      </c>
      <c r="J587" s="1544" t="s">
        <v>2932</v>
      </c>
      <c r="K587" s="1544"/>
      <c r="L587" s="1544"/>
      <c r="M587" s="1544"/>
      <c r="N587" s="1544"/>
      <c r="O587" s="1544"/>
    </row>
    <row r="588" spans="8:15">
      <c r="H588" s="1543" t="s">
        <v>2933</v>
      </c>
      <c r="I588" s="1544" t="s">
        <v>487</v>
      </c>
      <c r="J588" s="1544" t="s">
        <v>2934</v>
      </c>
      <c r="K588" s="1544"/>
      <c r="L588" s="1544"/>
      <c r="M588" s="1544"/>
      <c r="N588" s="1544"/>
      <c r="O588" s="1544"/>
    </row>
    <row r="589" spans="8:15">
      <c r="H589" s="1543" t="s">
        <v>2935</v>
      </c>
      <c r="I589" s="1544" t="s">
        <v>487</v>
      </c>
      <c r="J589" s="1544" t="s">
        <v>2936</v>
      </c>
      <c r="K589" s="1544"/>
      <c r="L589" s="1544"/>
      <c r="M589" s="1544"/>
      <c r="N589" s="1544"/>
      <c r="O589" s="1544"/>
    </row>
    <row r="590" spans="8:15">
      <c r="H590" s="1543" t="s">
        <v>2937</v>
      </c>
      <c r="I590" s="1544" t="s">
        <v>487</v>
      </c>
      <c r="J590" s="1544" t="s">
        <v>2938</v>
      </c>
      <c r="K590" s="1544"/>
      <c r="L590" s="1544"/>
      <c r="M590" s="1544"/>
      <c r="N590" s="1544"/>
      <c r="O590" s="1544"/>
    </row>
    <row r="591" spans="8:15">
      <c r="H591" s="1543" t="s">
        <v>2939</v>
      </c>
      <c r="I591" s="1544" t="s">
        <v>487</v>
      </c>
      <c r="J591" s="1544" t="s">
        <v>2940</v>
      </c>
      <c r="K591" s="1544"/>
      <c r="L591" s="1544"/>
      <c r="M591" s="1544"/>
      <c r="N591" s="1544"/>
      <c r="O591" s="1544"/>
    </row>
    <row r="592" spans="8:15">
      <c r="H592" s="1543" t="s">
        <v>2941</v>
      </c>
      <c r="I592" s="1544" t="s">
        <v>487</v>
      </c>
      <c r="J592" s="1544" t="s">
        <v>2942</v>
      </c>
      <c r="K592" s="1544"/>
      <c r="L592" s="1544"/>
      <c r="M592" s="1544"/>
      <c r="N592" s="1544"/>
      <c r="O592" s="1544"/>
    </row>
    <row r="593" spans="8:15">
      <c r="H593" s="1543" t="s">
        <v>2943</v>
      </c>
      <c r="I593" s="1544" t="s">
        <v>487</v>
      </c>
      <c r="J593" s="1544" t="s">
        <v>2944</v>
      </c>
      <c r="K593" s="1544"/>
      <c r="L593" s="1544"/>
      <c r="M593" s="1544"/>
      <c r="N593" s="1544"/>
      <c r="O593" s="1544"/>
    </row>
    <row r="594" spans="8:15">
      <c r="H594" s="1543" t="s">
        <v>2945</v>
      </c>
      <c r="I594" s="1544" t="s">
        <v>487</v>
      </c>
      <c r="J594" s="1544" t="s">
        <v>2946</v>
      </c>
      <c r="K594" s="1544"/>
      <c r="L594" s="1544"/>
      <c r="M594" s="1544"/>
      <c r="N594" s="1544"/>
      <c r="O594" s="1544"/>
    </row>
    <row r="595" spans="8:15">
      <c r="H595" s="1543" t="s">
        <v>2947</v>
      </c>
      <c r="I595" s="1544" t="s">
        <v>487</v>
      </c>
      <c r="J595" s="1544" t="s">
        <v>2948</v>
      </c>
      <c r="K595" s="1544"/>
      <c r="L595" s="1544"/>
      <c r="M595" s="1544"/>
      <c r="N595" s="1544"/>
      <c r="O595" s="1544"/>
    </row>
    <row r="596" spans="8:15">
      <c r="H596" s="1543" t="s">
        <v>2949</v>
      </c>
      <c r="I596" s="1544" t="s">
        <v>487</v>
      </c>
      <c r="J596" s="1544" t="s">
        <v>2950</v>
      </c>
      <c r="K596" s="1544"/>
      <c r="L596" s="1544"/>
      <c r="M596" s="1544"/>
      <c r="N596" s="1544"/>
      <c r="O596" s="1544"/>
    </row>
    <row r="597" spans="8:15">
      <c r="H597" s="1543" t="s">
        <v>2951</v>
      </c>
      <c r="I597" s="1544" t="s">
        <v>487</v>
      </c>
      <c r="J597" s="1544" t="s">
        <v>2952</v>
      </c>
      <c r="K597" s="1544"/>
      <c r="L597" s="1544"/>
      <c r="M597" s="1544"/>
      <c r="N597" s="1544"/>
      <c r="O597" s="1544"/>
    </row>
    <row r="598" spans="8:15">
      <c r="H598" s="1543" t="s">
        <v>2953</v>
      </c>
      <c r="I598" s="1544" t="s">
        <v>487</v>
      </c>
      <c r="J598" s="1544" t="s">
        <v>2954</v>
      </c>
      <c r="K598" s="1544"/>
      <c r="L598" s="1544"/>
      <c r="M598" s="1544"/>
      <c r="N598" s="1544"/>
      <c r="O598" s="1544"/>
    </row>
    <row r="599" spans="8:15">
      <c r="H599" s="1543" t="s">
        <v>2955</v>
      </c>
      <c r="I599" s="1544" t="s">
        <v>487</v>
      </c>
      <c r="J599" s="1544" t="s">
        <v>2956</v>
      </c>
      <c r="K599" s="1544"/>
      <c r="L599" s="1544"/>
      <c r="M599" s="1544"/>
      <c r="N599" s="1544"/>
      <c r="O599" s="1544"/>
    </row>
    <row r="600" spans="8:15">
      <c r="H600" s="1543" t="s">
        <v>2957</v>
      </c>
      <c r="I600" s="1544" t="s">
        <v>487</v>
      </c>
      <c r="J600" s="1544" t="s">
        <v>2958</v>
      </c>
      <c r="K600" s="1544"/>
      <c r="L600" s="1544"/>
      <c r="M600" s="1544"/>
      <c r="N600" s="1544"/>
      <c r="O600" s="1544"/>
    </row>
    <row r="601" spans="8:15">
      <c r="H601" s="1543" t="s">
        <v>2959</v>
      </c>
      <c r="I601" s="1544" t="s">
        <v>487</v>
      </c>
      <c r="J601" s="1544" t="s">
        <v>2960</v>
      </c>
      <c r="K601" s="1544"/>
      <c r="L601" s="1544"/>
      <c r="M601" s="1544"/>
      <c r="N601" s="1544"/>
      <c r="O601" s="1544"/>
    </row>
    <row r="602" spans="8:15">
      <c r="H602" s="1543" t="s">
        <v>2961</v>
      </c>
      <c r="I602" s="1544" t="s">
        <v>487</v>
      </c>
      <c r="J602" s="1544" t="s">
        <v>2962</v>
      </c>
      <c r="K602" s="1544"/>
      <c r="L602" s="1544"/>
      <c r="M602" s="1544"/>
      <c r="N602" s="1544"/>
      <c r="O602" s="1544"/>
    </row>
    <row r="603" spans="8:15">
      <c r="H603" s="1543" t="s">
        <v>2963</v>
      </c>
      <c r="I603" s="1544" t="s">
        <v>487</v>
      </c>
      <c r="J603" s="1544" t="s">
        <v>2964</v>
      </c>
      <c r="K603" s="1544"/>
      <c r="L603" s="1544"/>
      <c r="M603" s="1544"/>
      <c r="N603" s="1544"/>
      <c r="O603" s="1544"/>
    </row>
    <row r="604" spans="8:15">
      <c r="H604" s="1543" t="s">
        <v>2965</v>
      </c>
      <c r="I604" s="1544" t="s">
        <v>487</v>
      </c>
      <c r="J604" s="1544" t="s">
        <v>2966</v>
      </c>
      <c r="K604" s="1544"/>
      <c r="L604" s="1544"/>
      <c r="M604" s="1544"/>
      <c r="N604" s="1544"/>
      <c r="O604" s="1544"/>
    </row>
    <row r="605" spans="8:15">
      <c r="H605" s="1543" t="s">
        <v>2967</v>
      </c>
      <c r="I605" s="1544" t="s">
        <v>487</v>
      </c>
      <c r="J605" s="1544" t="s">
        <v>2968</v>
      </c>
      <c r="K605" s="1544"/>
      <c r="L605" s="1544"/>
      <c r="M605" s="1544"/>
      <c r="N605" s="1544"/>
      <c r="O605" s="1544"/>
    </row>
    <row r="606" spans="8:15">
      <c r="H606" s="1543" t="s">
        <v>2969</v>
      </c>
      <c r="I606" s="1544" t="s">
        <v>488</v>
      </c>
      <c r="J606" s="1544"/>
      <c r="K606" s="1544">
        <f>ROW()</f>
        <v>606</v>
      </c>
      <c r="L606" s="1544">
        <f>K606+COUNTIF($I$122:$I$1909,I606)-1</f>
        <v>641</v>
      </c>
      <c r="M606" s="1544"/>
      <c r="N606" s="1544"/>
      <c r="O606" s="1544"/>
    </row>
    <row r="607" spans="8:15">
      <c r="H607" s="1543" t="s">
        <v>1285</v>
      </c>
      <c r="I607" s="1544" t="s">
        <v>488</v>
      </c>
      <c r="J607" s="1544" t="s">
        <v>1284</v>
      </c>
      <c r="K607" s="1544"/>
      <c r="L607" s="1544"/>
      <c r="M607" s="1544"/>
      <c r="N607" s="1544"/>
      <c r="O607" s="1544"/>
    </row>
    <row r="608" spans="8:15">
      <c r="H608" s="1543" t="s">
        <v>1287</v>
      </c>
      <c r="I608" s="1544" t="s">
        <v>488</v>
      </c>
      <c r="J608" s="1544" t="s">
        <v>1286</v>
      </c>
      <c r="K608" s="1544"/>
      <c r="L608" s="1544"/>
      <c r="M608" s="1544"/>
      <c r="N608" s="1544"/>
      <c r="O608" s="1544"/>
    </row>
    <row r="609" spans="8:15">
      <c r="H609" s="1543" t="s">
        <v>2970</v>
      </c>
      <c r="I609" s="1544" t="s">
        <v>488</v>
      </c>
      <c r="J609" s="1544" t="s">
        <v>2971</v>
      </c>
      <c r="K609" s="1544"/>
      <c r="L609" s="1544"/>
      <c r="M609" s="1544"/>
      <c r="N609" s="1544"/>
      <c r="O609" s="1544"/>
    </row>
    <row r="610" spans="8:15">
      <c r="H610" s="1543" t="s">
        <v>1367</v>
      </c>
      <c r="I610" s="1544" t="s">
        <v>488</v>
      </c>
      <c r="J610" s="1544" t="s">
        <v>1366</v>
      </c>
      <c r="K610" s="1544"/>
      <c r="L610" s="1544"/>
      <c r="M610" s="1544"/>
      <c r="N610" s="1544"/>
      <c r="O610" s="1544"/>
    </row>
    <row r="611" spans="8:15">
      <c r="H611" s="1543" t="s">
        <v>1369</v>
      </c>
      <c r="I611" s="1544" t="s">
        <v>488</v>
      </c>
      <c r="J611" s="1544" t="s">
        <v>1368</v>
      </c>
      <c r="K611" s="1544"/>
      <c r="L611" s="1544"/>
      <c r="M611" s="1544"/>
      <c r="N611" s="1544"/>
      <c r="O611" s="1544"/>
    </row>
    <row r="612" spans="8:15">
      <c r="H612" s="1543" t="s">
        <v>2972</v>
      </c>
      <c r="I612" s="1544" t="s">
        <v>488</v>
      </c>
      <c r="J612" s="1544" t="s">
        <v>2973</v>
      </c>
      <c r="K612" s="1544"/>
      <c r="L612" s="1544"/>
      <c r="M612" s="1544"/>
      <c r="N612" s="1544"/>
      <c r="O612" s="1544"/>
    </row>
    <row r="613" spans="8:15">
      <c r="H613" s="1543" t="s">
        <v>2974</v>
      </c>
      <c r="I613" s="1544" t="s">
        <v>488</v>
      </c>
      <c r="J613" s="1544" t="s">
        <v>2975</v>
      </c>
      <c r="K613" s="1544"/>
      <c r="L613" s="1544"/>
      <c r="M613" s="1544"/>
      <c r="N613" s="1544"/>
      <c r="O613" s="1544"/>
    </row>
    <row r="614" spans="8:15">
      <c r="H614" s="1543" t="s">
        <v>2976</v>
      </c>
      <c r="I614" s="1544" t="s">
        <v>488</v>
      </c>
      <c r="J614" s="1544" t="s">
        <v>2977</v>
      </c>
      <c r="K614" s="1544"/>
      <c r="L614" s="1544"/>
      <c r="M614" s="1544"/>
      <c r="N614" s="1544"/>
      <c r="O614" s="1544"/>
    </row>
    <row r="615" spans="8:15">
      <c r="H615" s="1543" t="s">
        <v>2978</v>
      </c>
      <c r="I615" s="1544" t="s">
        <v>488</v>
      </c>
      <c r="J615" s="1544" t="s">
        <v>2979</v>
      </c>
      <c r="K615" s="1544"/>
      <c r="L615" s="1544"/>
      <c r="M615" s="1544"/>
      <c r="N615" s="1544"/>
      <c r="O615" s="1544"/>
    </row>
    <row r="616" spans="8:15">
      <c r="H616" s="1543" t="s">
        <v>2980</v>
      </c>
      <c r="I616" s="1544" t="s">
        <v>488</v>
      </c>
      <c r="J616" s="1544" t="s">
        <v>2981</v>
      </c>
      <c r="K616" s="1544"/>
      <c r="L616" s="1544"/>
      <c r="M616" s="1544"/>
      <c r="N616" s="1544"/>
      <c r="O616" s="1544"/>
    </row>
    <row r="617" spans="8:15">
      <c r="H617" s="1543" t="s">
        <v>2982</v>
      </c>
      <c r="I617" s="1544" t="s">
        <v>488</v>
      </c>
      <c r="J617" s="1544" t="s">
        <v>2983</v>
      </c>
      <c r="K617" s="1544"/>
      <c r="L617" s="1544"/>
      <c r="M617" s="1544"/>
      <c r="N617" s="1544"/>
      <c r="O617" s="1544"/>
    </row>
    <row r="618" spans="8:15">
      <c r="H618" s="1543" t="s">
        <v>2984</v>
      </c>
      <c r="I618" s="1544" t="s">
        <v>488</v>
      </c>
      <c r="J618" s="1544" t="s">
        <v>2985</v>
      </c>
      <c r="K618" s="1544"/>
      <c r="L618" s="1544"/>
      <c r="M618" s="1544"/>
      <c r="N618" s="1544"/>
      <c r="O618" s="1544"/>
    </row>
    <row r="619" spans="8:15">
      <c r="H619" s="1543" t="s">
        <v>2986</v>
      </c>
      <c r="I619" s="1544" t="s">
        <v>488</v>
      </c>
      <c r="J619" s="1544" t="s">
        <v>2987</v>
      </c>
      <c r="K619" s="1544"/>
      <c r="L619" s="1544"/>
      <c r="M619" s="1544"/>
      <c r="N619" s="1544"/>
      <c r="O619" s="1544"/>
    </row>
    <row r="620" spans="8:15">
      <c r="H620" s="1543" t="s">
        <v>2988</v>
      </c>
      <c r="I620" s="1544" t="s">
        <v>488</v>
      </c>
      <c r="J620" s="1544" t="s">
        <v>2989</v>
      </c>
      <c r="K620" s="1544"/>
      <c r="L620" s="1544"/>
      <c r="M620" s="1544"/>
      <c r="N620" s="1544"/>
      <c r="O620" s="1544"/>
    </row>
    <row r="621" spans="8:15">
      <c r="H621" s="1543" t="s">
        <v>2990</v>
      </c>
      <c r="I621" s="1544" t="s">
        <v>488</v>
      </c>
      <c r="J621" s="1544" t="s">
        <v>2991</v>
      </c>
      <c r="K621" s="1544"/>
      <c r="L621" s="1544"/>
      <c r="M621" s="1544"/>
      <c r="N621" s="1544"/>
      <c r="O621" s="1544"/>
    </row>
    <row r="622" spans="8:15">
      <c r="H622" s="1543" t="s">
        <v>2992</v>
      </c>
      <c r="I622" s="1544" t="s">
        <v>488</v>
      </c>
      <c r="J622" s="1544" t="s">
        <v>2993</v>
      </c>
      <c r="K622" s="1544"/>
      <c r="L622" s="1544"/>
      <c r="M622" s="1544"/>
      <c r="N622" s="1544"/>
      <c r="O622" s="1544"/>
    </row>
    <row r="623" spans="8:15">
      <c r="H623" s="1543" t="s">
        <v>2994</v>
      </c>
      <c r="I623" s="1544" t="s">
        <v>488</v>
      </c>
      <c r="J623" s="1544" t="s">
        <v>2995</v>
      </c>
      <c r="K623" s="1544"/>
      <c r="L623" s="1544"/>
      <c r="M623" s="1544"/>
      <c r="N623" s="1544"/>
      <c r="O623" s="1544"/>
    </row>
    <row r="624" spans="8:15">
      <c r="H624" s="1543" t="s">
        <v>2996</v>
      </c>
      <c r="I624" s="1544" t="s">
        <v>488</v>
      </c>
      <c r="J624" s="1544" t="s">
        <v>2997</v>
      </c>
      <c r="K624" s="1544"/>
      <c r="L624" s="1544"/>
      <c r="M624" s="1544"/>
      <c r="N624" s="1544"/>
      <c r="O624" s="1544"/>
    </row>
    <row r="625" spans="8:15">
      <c r="H625" s="1543" t="s">
        <v>2998</v>
      </c>
      <c r="I625" s="1544" t="s">
        <v>488</v>
      </c>
      <c r="J625" s="1544" t="s">
        <v>2999</v>
      </c>
      <c r="K625" s="1544"/>
      <c r="L625" s="1544"/>
      <c r="M625" s="1544"/>
      <c r="N625" s="1544"/>
      <c r="O625" s="1544"/>
    </row>
    <row r="626" spans="8:15">
      <c r="H626" s="1543" t="s">
        <v>3000</v>
      </c>
      <c r="I626" s="1544" t="s">
        <v>488</v>
      </c>
      <c r="J626" s="1544" t="s">
        <v>3001</v>
      </c>
      <c r="K626" s="1544"/>
      <c r="L626" s="1544"/>
      <c r="M626" s="1544"/>
      <c r="N626" s="1544"/>
      <c r="O626" s="1544"/>
    </row>
    <row r="627" spans="8:15">
      <c r="H627" s="1543" t="s">
        <v>3002</v>
      </c>
      <c r="I627" s="1544" t="s">
        <v>488</v>
      </c>
      <c r="J627" s="1544" t="s">
        <v>3003</v>
      </c>
      <c r="K627" s="1544"/>
      <c r="L627" s="1544"/>
      <c r="M627" s="1544"/>
      <c r="N627" s="1544"/>
      <c r="O627" s="1544"/>
    </row>
    <row r="628" spans="8:15">
      <c r="H628" s="1543" t="s">
        <v>3004</v>
      </c>
      <c r="I628" s="1544" t="s">
        <v>488</v>
      </c>
      <c r="J628" s="1544" t="s">
        <v>3005</v>
      </c>
      <c r="K628" s="1544"/>
      <c r="L628" s="1544"/>
      <c r="M628" s="1544"/>
      <c r="N628" s="1544"/>
      <c r="O628" s="1544"/>
    </row>
    <row r="629" spans="8:15">
      <c r="H629" s="1543" t="s">
        <v>3006</v>
      </c>
      <c r="I629" s="1544" t="s">
        <v>488</v>
      </c>
      <c r="J629" s="1544" t="s">
        <v>3007</v>
      </c>
      <c r="K629" s="1544"/>
      <c r="L629" s="1544"/>
      <c r="M629" s="1544"/>
      <c r="N629" s="1544"/>
      <c r="O629" s="1544"/>
    </row>
    <row r="630" spans="8:15">
      <c r="H630" s="1543" t="s">
        <v>3008</v>
      </c>
      <c r="I630" s="1544" t="s">
        <v>488</v>
      </c>
      <c r="J630" s="1544" t="s">
        <v>3009</v>
      </c>
      <c r="K630" s="1544"/>
      <c r="L630" s="1544"/>
      <c r="M630" s="1544"/>
      <c r="N630" s="1544"/>
      <c r="O630" s="1544"/>
    </row>
    <row r="631" spans="8:15">
      <c r="H631" s="1543" t="s">
        <v>3010</v>
      </c>
      <c r="I631" s="1544" t="s">
        <v>488</v>
      </c>
      <c r="J631" s="1544" t="s">
        <v>3011</v>
      </c>
      <c r="K631" s="1544"/>
      <c r="L631" s="1544"/>
      <c r="M631" s="1544"/>
      <c r="N631" s="1544"/>
      <c r="O631" s="1544"/>
    </row>
    <row r="632" spans="8:15">
      <c r="H632" s="1543" t="s">
        <v>3012</v>
      </c>
      <c r="I632" s="1544" t="s">
        <v>488</v>
      </c>
      <c r="J632" s="1544" t="s">
        <v>3013</v>
      </c>
      <c r="K632" s="1544"/>
      <c r="L632" s="1544"/>
      <c r="M632" s="1544"/>
      <c r="N632" s="1544"/>
      <c r="O632" s="1544"/>
    </row>
    <row r="633" spans="8:15">
      <c r="H633" s="1543" t="s">
        <v>3014</v>
      </c>
      <c r="I633" s="1544" t="s">
        <v>488</v>
      </c>
      <c r="J633" s="1544" t="s">
        <v>3015</v>
      </c>
      <c r="K633" s="1544"/>
      <c r="L633" s="1544"/>
      <c r="M633" s="1544"/>
      <c r="N633" s="1544"/>
      <c r="O633" s="1544"/>
    </row>
    <row r="634" spans="8:15">
      <c r="H634" s="1543" t="s">
        <v>3016</v>
      </c>
      <c r="I634" s="1544" t="s">
        <v>488</v>
      </c>
      <c r="J634" s="1544" t="s">
        <v>2782</v>
      </c>
      <c r="K634" s="1544"/>
      <c r="L634" s="1544"/>
      <c r="M634" s="1544"/>
      <c r="N634" s="1544"/>
      <c r="O634" s="1544"/>
    </row>
    <row r="635" spans="8:15">
      <c r="H635" s="1543" t="s">
        <v>3017</v>
      </c>
      <c r="I635" s="1544" t="s">
        <v>488</v>
      </c>
      <c r="J635" s="1544" t="s">
        <v>3018</v>
      </c>
      <c r="K635" s="1544"/>
      <c r="L635" s="1544"/>
      <c r="M635" s="1544"/>
      <c r="N635" s="1544"/>
      <c r="O635" s="1544"/>
    </row>
    <row r="636" spans="8:15">
      <c r="H636" s="1543" t="s">
        <v>3019</v>
      </c>
      <c r="I636" s="1544" t="s">
        <v>488</v>
      </c>
      <c r="J636" s="1544" t="s">
        <v>3020</v>
      </c>
      <c r="K636" s="1544"/>
      <c r="L636" s="1544"/>
      <c r="M636" s="1544"/>
      <c r="N636" s="1544"/>
      <c r="O636" s="1544"/>
    </row>
    <row r="637" spans="8:15">
      <c r="H637" s="1543" t="s">
        <v>3021</v>
      </c>
      <c r="I637" s="1544" t="s">
        <v>488</v>
      </c>
      <c r="J637" s="1544" t="s">
        <v>3022</v>
      </c>
      <c r="K637" s="1544"/>
      <c r="L637" s="1544"/>
      <c r="M637" s="1544"/>
      <c r="N637" s="1544"/>
      <c r="O637" s="1544"/>
    </row>
    <row r="638" spans="8:15">
      <c r="H638" s="1543" t="s">
        <v>3023</v>
      </c>
      <c r="I638" s="1544" t="s">
        <v>488</v>
      </c>
      <c r="J638" s="1544" t="s">
        <v>3024</v>
      </c>
      <c r="K638" s="1544"/>
      <c r="L638" s="1544"/>
      <c r="M638" s="1544"/>
      <c r="N638" s="1544"/>
      <c r="O638" s="1544"/>
    </row>
    <row r="639" spans="8:15">
      <c r="H639" s="1543" t="s">
        <v>3025</v>
      </c>
      <c r="I639" s="1544" t="s">
        <v>488</v>
      </c>
      <c r="J639" s="1544" t="s">
        <v>3026</v>
      </c>
      <c r="K639" s="1544"/>
      <c r="L639" s="1544"/>
      <c r="M639" s="1544"/>
      <c r="N639" s="1544"/>
      <c r="O639" s="1544"/>
    </row>
    <row r="640" spans="8:15">
      <c r="H640" s="1543" t="s">
        <v>3027</v>
      </c>
      <c r="I640" s="1544" t="s">
        <v>488</v>
      </c>
      <c r="J640" s="1544" t="s">
        <v>3028</v>
      </c>
      <c r="K640" s="1544"/>
      <c r="L640" s="1544"/>
      <c r="M640" s="1544"/>
      <c r="N640" s="1544"/>
      <c r="O640" s="1544"/>
    </row>
    <row r="641" spans="8:15">
      <c r="H641" s="1543" t="s">
        <v>3029</v>
      </c>
      <c r="I641" s="1544" t="s">
        <v>488</v>
      </c>
      <c r="J641" s="1544" t="s">
        <v>3030</v>
      </c>
      <c r="K641" s="1544"/>
      <c r="L641" s="1544"/>
      <c r="M641" s="1544"/>
      <c r="N641" s="1544"/>
      <c r="O641" s="1544"/>
    </row>
    <row r="642" spans="8:15">
      <c r="H642" s="1543" t="s">
        <v>3031</v>
      </c>
      <c r="I642" s="1544" t="s">
        <v>489</v>
      </c>
      <c r="J642" s="1544"/>
      <c r="K642" s="1544">
        <f>ROW()</f>
        <v>642</v>
      </c>
      <c r="L642" s="1544">
        <f>K642+COUNTIF($I$122:$I$1909,I642)-1</f>
        <v>705</v>
      </c>
      <c r="M642" s="1544"/>
      <c r="N642" s="1544"/>
      <c r="O642" s="1544"/>
    </row>
    <row r="643" spans="8:15">
      <c r="H643" s="1543" t="s">
        <v>1233</v>
      </c>
      <c r="I643" s="1544" t="s">
        <v>489</v>
      </c>
      <c r="J643" s="1544" t="s">
        <v>1232</v>
      </c>
      <c r="K643" s="1544"/>
      <c r="L643" s="1544"/>
      <c r="M643" s="1544"/>
      <c r="N643" s="1544"/>
      <c r="O643" s="1544"/>
    </row>
    <row r="644" spans="8:15">
      <c r="H644" s="1543" t="s">
        <v>1289</v>
      </c>
      <c r="I644" s="1544" t="s">
        <v>489</v>
      </c>
      <c r="J644" s="1544" t="s">
        <v>1288</v>
      </c>
      <c r="K644" s="1544"/>
      <c r="L644" s="1544"/>
      <c r="M644" s="1544"/>
      <c r="N644" s="1544"/>
      <c r="O644" s="1544"/>
    </row>
    <row r="645" spans="8:15">
      <c r="H645" s="1543" t="s">
        <v>1371</v>
      </c>
      <c r="I645" s="1544" t="s">
        <v>489</v>
      </c>
      <c r="J645" s="1544" t="s">
        <v>1370</v>
      </c>
      <c r="K645" s="1544"/>
      <c r="L645" s="1544"/>
      <c r="M645" s="1544"/>
      <c r="N645" s="1544"/>
      <c r="O645" s="1544"/>
    </row>
    <row r="646" spans="8:15">
      <c r="H646" s="1543" t="s">
        <v>1373</v>
      </c>
      <c r="I646" s="1544" t="s">
        <v>489</v>
      </c>
      <c r="J646" s="1544" t="s">
        <v>1372</v>
      </c>
      <c r="K646" s="1544"/>
      <c r="L646" s="1544"/>
      <c r="M646" s="1544"/>
      <c r="N646" s="1544"/>
      <c r="O646" s="1544"/>
    </row>
    <row r="647" spans="8:15">
      <c r="H647" s="1543" t="s">
        <v>3032</v>
      </c>
      <c r="I647" s="1544" t="s">
        <v>489</v>
      </c>
      <c r="J647" s="1544" t="s">
        <v>3033</v>
      </c>
      <c r="K647" s="1544"/>
      <c r="L647" s="1544"/>
      <c r="M647" s="1544"/>
      <c r="N647" s="1544"/>
      <c r="O647" s="1544"/>
    </row>
    <row r="648" spans="8:15">
      <c r="H648" s="1543" t="s">
        <v>3034</v>
      </c>
      <c r="I648" s="1544" t="s">
        <v>489</v>
      </c>
      <c r="J648" s="1544" t="s">
        <v>3035</v>
      </c>
      <c r="K648" s="1544"/>
      <c r="L648" s="1544"/>
      <c r="M648" s="1544"/>
      <c r="N648" s="1544"/>
      <c r="O648" s="1544"/>
    </row>
    <row r="649" spans="8:15">
      <c r="H649" s="1543" t="s">
        <v>1375</v>
      </c>
      <c r="I649" s="1544" t="s">
        <v>489</v>
      </c>
      <c r="J649" s="1544" t="s">
        <v>1374</v>
      </c>
      <c r="K649" s="1544"/>
      <c r="L649" s="1544"/>
      <c r="M649" s="1544"/>
      <c r="N649" s="1544"/>
      <c r="O649" s="1544"/>
    </row>
    <row r="650" spans="8:15">
      <c r="H650" s="1543" t="s">
        <v>3036</v>
      </c>
      <c r="I650" s="1544" t="s">
        <v>489</v>
      </c>
      <c r="J650" s="1544" t="s">
        <v>3037</v>
      </c>
      <c r="K650" s="1544"/>
      <c r="L650" s="1544"/>
      <c r="M650" s="1544"/>
      <c r="N650" s="1544"/>
      <c r="O650" s="1544"/>
    </row>
    <row r="651" spans="8:15">
      <c r="H651" s="1543" t="s">
        <v>3038</v>
      </c>
      <c r="I651" s="1544" t="s">
        <v>489</v>
      </c>
      <c r="J651" s="1544" t="s">
        <v>3039</v>
      </c>
      <c r="K651" s="1544"/>
      <c r="L651" s="1544"/>
      <c r="M651" s="1544"/>
      <c r="N651" s="1544"/>
      <c r="O651" s="1544"/>
    </row>
    <row r="652" spans="8:15">
      <c r="H652" s="1543" t="s">
        <v>3040</v>
      </c>
      <c r="I652" s="1544" t="s">
        <v>489</v>
      </c>
      <c r="J652" s="1544" t="s">
        <v>3041</v>
      </c>
      <c r="K652" s="1544"/>
      <c r="L652" s="1544"/>
      <c r="M652" s="1544"/>
      <c r="N652" s="1544"/>
      <c r="O652" s="1544"/>
    </row>
    <row r="653" spans="8:15">
      <c r="H653" s="1543" t="s">
        <v>3042</v>
      </c>
      <c r="I653" s="1544" t="s">
        <v>489</v>
      </c>
      <c r="J653" s="1544" t="s">
        <v>3043</v>
      </c>
      <c r="K653" s="1544"/>
      <c r="L653" s="1544"/>
      <c r="M653" s="1544"/>
      <c r="N653" s="1544"/>
      <c r="O653" s="1544"/>
    </row>
    <row r="654" spans="8:15">
      <c r="H654" s="1543" t="s">
        <v>1377</v>
      </c>
      <c r="I654" s="1544" t="s">
        <v>489</v>
      </c>
      <c r="J654" s="1544" t="s">
        <v>1376</v>
      </c>
      <c r="K654" s="1544"/>
      <c r="L654" s="1544"/>
      <c r="M654" s="1544"/>
      <c r="N654" s="1544"/>
      <c r="O654" s="1544"/>
    </row>
    <row r="655" spans="8:15">
      <c r="H655" s="1543" t="s">
        <v>3044</v>
      </c>
      <c r="I655" s="1544" t="s">
        <v>489</v>
      </c>
      <c r="J655" s="1544" t="s">
        <v>3045</v>
      </c>
      <c r="K655" s="1544"/>
      <c r="L655" s="1544"/>
      <c r="M655" s="1544"/>
      <c r="N655" s="1544"/>
      <c r="O655" s="1544"/>
    </row>
    <row r="656" spans="8:15">
      <c r="H656" s="1543" t="s">
        <v>3046</v>
      </c>
      <c r="I656" s="1544" t="s">
        <v>489</v>
      </c>
      <c r="J656" s="1544" t="s">
        <v>3047</v>
      </c>
      <c r="K656" s="1544"/>
      <c r="L656" s="1544"/>
      <c r="M656" s="1544"/>
      <c r="N656" s="1544"/>
      <c r="O656" s="1544"/>
    </row>
    <row r="657" spans="8:15">
      <c r="H657" s="1543" t="s">
        <v>3048</v>
      </c>
      <c r="I657" s="1544" t="s">
        <v>489</v>
      </c>
      <c r="J657" s="1544" t="s">
        <v>3049</v>
      </c>
      <c r="K657" s="1544"/>
      <c r="L657" s="1544"/>
      <c r="M657" s="1544"/>
      <c r="N657" s="1544"/>
      <c r="O657" s="1544"/>
    </row>
    <row r="658" spans="8:15">
      <c r="H658" s="1543" t="s">
        <v>3050</v>
      </c>
      <c r="I658" s="1544" t="s">
        <v>489</v>
      </c>
      <c r="J658" s="1544" t="s">
        <v>3051</v>
      </c>
      <c r="K658" s="1544"/>
      <c r="L658" s="1544"/>
      <c r="M658" s="1544"/>
      <c r="N658" s="1544"/>
      <c r="O658" s="1544"/>
    </row>
    <row r="659" spans="8:15">
      <c r="H659" s="1543" t="s">
        <v>3052</v>
      </c>
      <c r="I659" s="1544" t="s">
        <v>489</v>
      </c>
      <c r="J659" s="1544" t="s">
        <v>3053</v>
      </c>
      <c r="K659" s="1544"/>
      <c r="L659" s="1544"/>
      <c r="M659" s="1544"/>
      <c r="N659" s="1544"/>
      <c r="O659" s="1544"/>
    </row>
    <row r="660" spans="8:15">
      <c r="H660" s="1543" t="s">
        <v>1379</v>
      </c>
      <c r="I660" s="1544" t="s">
        <v>489</v>
      </c>
      <c r="J660" s="1544" t="s">
        <v>1378</v>
      </c>
      <c r="K660" s="1544"/>
      <c r="L660" s="1544"/>
      <c r="M660" s="1544"/>
      <c r="N660" s="1544"/>
      <c r="O660" s="1544"/>
    </row>
    <row r="661" spans="8:15">
      <c r="H661" s="1543" t="s">
        <v>1291</v>
      </c>
      <c r="I661" s="1544" t="s">
        <v>489</v>
      </c>
      <c r="J661" s="1544" t="s">
        <v>1290</v>
      </c>
      <c r="K661" s="1544"/>
      <c r="L661" s="1544"/>
      <c r="M661" s="1544"/>
      <c r="N661" s="1544"/>
      <c r="O661" s="1544"/>
    </row>
    <row r="662" spans="8:15">
      <c r="H662" s="1543" t="s">
        <v>3054</v>
      </c>
      <c r="I662" s="1544" t="s">
        <v>489</v>
      </c>
      <c r="J662" s="1544" t="s">
        <v>3055</v>
      </c>
      <c r="K662" s="1544"/>
      <c r="L662" s="1544"/>
      <c r="M662" s="1544"/>
      <c r="N662" s="1544"/>
      <c r="O662" s="1544"/>
    </row>
    <row r="663" spans="8:15">
      <c r="H663" s="1543" t="s">
        <v>3056</v>
      </c>
      <c r="I663" s="1544" t="s">
        <v>489</v>
      </c>
      <c r="J663" s="1544" t="s">
        <v>3057</v>
      </c>
      <c r="K663" s="1544"/>
      <c r="L663" s="1544"/>
      <c r="M663" s="1544"/>
      <c r="N663" s="1544"/>
      <c r="O663" s="1544"/>
    </row>
    <row r="664" spans="8:15">
      <c r="H664" s="1543" t="s">
        <v>3058</v>
      </c>
      <c r="I664" s="1544" t="s">
        <v>489</v>
      </c>
      <c r="J664" s="1544" t="s">
        <v>3059</v>
      </c>
      <c r="K664" s="1544"/>
      <c r="L664" s="1544"/>
      <c r="M664" s="1544"/>
      <c r="N664" s="1544"/>
      <c r="O664" s="1544"/>
    </row>
    <row r="665" spans="8:15">
      <c r="H665" s="1543" t="s">
        <v>3060</v>
      </c>
      <c r="I665" s="1544" t="s">
        <v>489</v>
      </c>
      <c r="J665" s="1544" t="s">
        <v>3061</v>
      </c>
      <c r="K665" s="1544"/>
      <c r="L665" s="1544"/>
      <c r="M665" s="1544"/>
      <c r="N665" s="1544"/>
      <c r="O665" s="1544"/>
    </row>
    <row r="666" spans="8:15">
      <c r="H666" s="1543" t="s">
        <v>3062</v>
      </c>
      <c r="I666" s="1544" t="s">
        <v>489</v>
      </c>
      <c r="J666" s="1544" t="s">
        <v>3063</v>
      </c>
      <c r="K666" s="1544"/>
      <c r="L666" s="1544"/>
      <c r="M666" s="1544"/>
      <c r="N666" s="1544"/>
      <c r="O666" s="1544"/>
    </row>
    <row r="667" spans="8:15">
      <c r="H667" s="1543" t="s">
        <v>3064</v>
      </c>
      <c r="I667" s="1544" t="s">
        <v>489</v>
      </c>
      <c r="J667" s="1544" t="s">
        <v>3065</v>
      </c>
      <c r="K667" s="1544"/>
      <c r="L667" s="1544"/>
      <c r="M667" s="1544"/>
      <c r="N667" s="1544"/>
      <c r="O667" s="1544"/>
    </row>
    <row r="668" spans="8:15">
      <c r="H668" s="1543" t="s">
        <v>3066</v>
      </c>
      <c r="I668" s="1544" t="s">
        <v>489</v>
      </c>
      <c r="J668" s="1544" t="s">
        <v>3067</v>
      </c>
      <c r="K668" s="1544"/>
      <c r="L668" s="1544"/>
      <c r="M668" s="1544"/>
      <c r="N668" s="1544"/>
      <c r="O668" s="1544"/>
    </row>
    <row r="669" spans="8:15">
      <c r="H669" s="1543" t="s">
        <v>3068</v>
      </c>
      <c r="I669" s="1544" t="s">
        <v>489</v>
      </c>
      <c r="J669" s="1544" t="s">
        <v>3069</v>
      </c>
      <c r="K669" s="1544"/>
      <c r="L669" s="1544"/>
      <c r="M669" s="1544"/>
      <c r="N669" s="1544"/>
      <c r="O669" s="1544"/>
    </row>
    <row r="670" spans="8:15">
      <c r="H670" s="1543" t="s">
        <v>3070</v>
      </c>
      <c r="I670" s="1544" t="s">
        <v>489</v>
      </c>
      <c r="J670" s="1544" t="s">
        <v>3071</v>
      </c>
      <c r="K670" s="1544"/>
      <c r="L670" s="1544"/>
      <c r="M670" s="1544"/>
      <c r="N670" s="1544"/>
      <c r="O670" s="1544"/>
    </row>
    <row r="671" spans="8:15">
      <c r="H671" s="1543" t="s">
        <v>3072</v>
      </c>
      <c r="I671" s="1544" t="s">
        <v>489</v>
      </c>
      <c r="J671" s="1544" t="s">
        <v>3073</v>
      </c>
      <c r="K671" s="1544"/>
      <c r="L671" s="1544"/>
      <c r="M671" s="1544"/>
      <c r="N671" s="1544"/>
      <c r="O671" s="1544"/>
    </row>
    <row r="672" spans="8:15">
      <c r="H672" s="1543" t="s">
        <v>3074</v>
      </c>
      <c r="I672" s="1544" t="s">
        <v>489</v>
      </c>
      <c r="J672" s="1544" t="s">
        <v>3075</v>
      </c>
      <c r="K672" s="1544"/>
      <c r="L672" s="1544"/>
      <c r="M672" s="1544"/>
      <c r="N672" s="1544"/>
      <c r="O672" s="1544"/>
    </row>
    <row r="673" spans="8:15">
      <c r="H673" s="1543" t="s">
        <v>3076</v>
      </c>
      <c r="I673" s="1544" t="s">
        <v>489</v>
      </c>
      <c r="J673" s="1544" t="s">
        <v>3077</v>
      </c>
      <c r="K673" s="1544"/>
      <c r="L673" s="1544"/>
      <c r="M673" s="1544"/>
      <c r="N673" s="1544"/>
      <c r="O673" s="1544"/>
    </row>
    <row r="674" spans="8:15">
      <c r="H674" s="1543" t="s">
        <v>3078</v>
      </c>
      <c r="I674" s="1544" t="s">
        <v>489</v>
      </c>
      <c r="J674" s="1544" t="s">
        <v>3079</v>
      </c>
      <c r="K674" s="1544"/>
      <c r="L674" s="1544"/>
      <c r="M674" s="1544"/>
      <c r="N674" s="1544"/>
      <c r="O674" s="1544"/>
    </row>
    <row r="675" spans="8:15">
      <c r="H675" s="1543" t="s">
        <v>3080</v>
      </c>
      <c r="I675" s="1544" t="s">
        <v>489</v>
      </c>
      <c r="J675" s="1544" t="s">
        <v>3081</v>
      </c>
      <c r="K675" s="1544"/>
      <c r="L675" s="1544"/>
      <c r="M675" s="1544"/>
      <c r="N675" s="1544"/>
      <c r="O675" s="1544"/>
    </row>
    <row r="676" spans="8:15">
      <c r="H676" s="1543" t="s">
        <v>3082</v>
      </c>
      <c r="I676" s="1544" t="s">
        <v>489</v>
      </c>
      <c r="J676" s="1544" t="s">
        <v>3083</v>
      </c>
      <c r="K676" s="1544"/>
      <c r="L676" s="1544"/>
      <c r="M676" s="1544"/>
      <c r="N676" s="1544"/>
      <c r="O676" s="1544"/>
    </row>
    <row r="677" spans="8:15">
      <c r="H677" s="1543" t="s">
        <v>3084</v>
      </c>
      <c r="I677" s="1544" t="s">
        <v>489</v>
      </c>
      <c r="J677" s="1544" t="s">
        <v>3085</v>
      </c>
      <c r="K677" s="1544"/>
      <c r="L677" s="1544"/>
      <c r="M677" s="1544"/>
      <c r="N677" s="1544"/>
      <c r="O677" s="1544"/>
    </row>
    <row r="678" spans="8:15">
      <c r="H678" s="1543" t="s">
        <v>3086</v>
      </c>
      <c r="I678" s="1544" t="s">
        <v>489</v>
      </c>
      <c r="J678" s="1544" t="s">
        <v>3087</v>
      </c>
      <c r="K678" s="1544"/>
      <c r="L678" s="1544"/>
      <c r="M678" s="1544"/>
      <c r="N678" s="1544"/>
      <c r="O678" s="1544"/>
    </row>
    <row r="679" spans="8:15">
      <c r="H679" s="1543" t="s">
        <v>3088</v>
      </c>
      <c r="I679" s="1544" t="s">
        <v>489</v>
      </c>
      <c r="J679" s="1544" t="s">
        <v>3089</v>
      </c>
      <c r="K679" s="1544"/>
      <c r="L679" s="1544"/>
      <c r="M679" s="1544"/>
      <c r="N679" s="1544"/>
      <c r="O679" s="1544"/>
    </row>
    <row r="680" spans="8:15">
      <c r="H680" s="1543" t="s">
        <v>3090</v>
      </c>
      <c r="I680" s="1544" t="s">
        <v>489</v>
      </c>
      <c r="J680" s="1544" t="s">
        <v>3091</v>
      </c>
      <c r="K680" s="1544"/>
      <c r="L680" s="1544"/>
      <c r="M680" s="1544"/>
      <c r="N680" s="1544"/>
      <c r="O680" s="1544"/>
    </row>
    <row r="681" spans="8:15">
      <c r="H681" s="1543" t="s">
        <v>3092</v>
      </c>
      <c r="I681" s="1544" t="s">
        <v>489</v>
      </c>
      <c r="J681" s="1544" t="s">
        <v>3093</v>
      </c>
      <c r="K681" s="1544"/>
      <c r="L681" s="1544"/>
      <c r="M681" s="1544"/>
      <c r="N681" s="1544"/>
      <c r="O681" s="1544"/>
    </row>
    <row r="682" spans="8:15">
      <c r="H682" s="1543" t="s">
        <v>3094</v>
      </c>
      <c r="I682" s="1544" t="s">
        <v>489</v>
      </c>
      <c r="J682" s="1544" t="s">
        <v>3095</v>
      </c>
      <c r="K682" s="1544"/>
      <c r="L682" s="1544"/>
      <c r="M682" s="1544"/>
      <c r="N682" s="1544"/>
      <c r="O682" s="1544"/>
    </row>
    <row r="683" spans="8:15">
      <c r="H683" s="1543" t="s">
        <v>3096</v>
      </c>
      <c r="I683" s="1544" t="s">
        <v>489</v>
      </c>
      <c r="J683" s="1544" t="s">
        <v>3097</v>
      </c>
      <c r="K683" s="1544"/>
      <c r="L683" s="1544"/>
      <c r="M683" s="1544"/>
      <c r="N683" s="1544"/>
      <c r="O683" s="1544"/>
    </row>
    <row r="684" spans="8:15">
      <c r="H684" s="1543" t="s">
        <v>3098</v>
      </c>
      <c r="I684" s="1544" t="s">
        <v>489</v>
      </c>
      <c r="J684" s="1544" t="s">
        <v>3099</v>
      </c>
      <c r="K684" s="1544"/>
      <c r="L684" s="1544"/>
      <c r="M684" s="1544"/>
      <c r="N684" s="1544"/>
      <c r="O684" s="1544"/>
    </row>
    <row r="685" spans="8:15">
      <c r="H685" s="1543" t="s">
        <v>3100</v>
      </c>
      <c r="I685" s="1544" t="s">
        <v>489</v>
      </c>
      <c r="J685" s="1544" t="s">
        <v>3101</v>
      </c>
      <c r="K685" s="1544"/>
      <c r="L685" s="1544"/>
      <c r="M685" s="1544"/>
      <c r="N685" s="1544"/>
      <c r="O685" s="1544"/>
    </row>
    <row r="686" spans="8:15">
      <c r="H686" s="1543" t="s">
        <v>3102</v>
      </c>
      <c r="I686" s="1544" t="s">
        <v>489</v>
      </c>
      <c r="J686" s="1544" t="s">
        <v>3103</v>
      </c>
      <c r="K686" s="1544"/>
      <c r="L686" s="1544"/>
      <c r="M686" s="1544"/>
      <c r="N686" s="1544"/>
      <c r="O686" s="1544"/>
    </row>
    <row r="687" spans="8:15">
      <c r="H687" s="1543" t="s">
        <v>3104</v>
      </c>
      <c r="I687" s="1544" t="s">
        <v>489</v>
      </c>
      <c r="J687" s="1544" t="s">
        <v>3105</v>
      </c>
      <c r="K687" s="1544"/>
      <c r="L687" s="1544"/>
      <c r="M687" s="1544"/>
      <c r="N687" s="1544"/>
      <c r="O687" s="1544"/>
    </row>
    <row r="688" spans="8:15">
      <c r="H688" s="1543" t="s">
        <v>3106</v>
      </c>
      <c r="I688" s="1544" t="s">
        <v>489</v>
      </c>
      <c r="J688" s="1544" t="s">
        <v>3107</v>
      </c>
      <c r="K688" s="1544"/>
      <c r="L688" s="1544"/>
      <c r="M688" s="1544"/>
      <c r="N688" s="1544"/>
      <c r="O688" s="1544"/>
    </row>
    <row r="689" spans="8:15">
      <c r="H689" s="1543" t="s">
        <v>3108</v>
      </c>
      <c r="I689" s="1544" t="s">
        <v>489</v>
      </c>
      <c r="J689" s="1544" t="s">
        <v>3109</v>
      </c>
      <c r="K689" s="1544"/>
      <c r="L689" s="1544"/>
      <c r="M689" s="1544"/>
      <c r="N689" s="1544"/>
      <c r="O689" s="1544"/>
    </row>
    <row r="690" spans="8:15">
      <c r="H690" s="1543" t="s">
        <v>3110</v>
      </c>
      <c r="I690" s="1544" t="s">
        <v>489</v>
      </c>
      <c r="J690" s="1544" t="s">
        <v>3111</v>
      </c>
      <c r="K690" s="1544"/>
      <c r="L690" s="1544"/>
      <c r="M690" s="1544"/>
      <c r="N690" s="1544"/>
      <c r="O690" s="1544"/>
    </row>
    <row r="691" spans="8:15">
      <c r="H691" s="1543" t="s">
        <v>3112</v>
      </c>
      <c r="I691" s="1544" t="s">
        <v>489</v>
      </c>
      <c r="J691" s="1544" t="s">
        <v>3113</v>
      </c>
      <c r="K691" s="1544"/>
      <c r="L691" s="1544"/>
      <c r="M691" s="1544"/>
      <c r="N691" s="1544"/>
      <c r="O691" s="1544"/>
    </row>
    <row r="692" spans="8:15">
      <c r="H692" s="1543" t="s">
        <v>3114</v>
      </c>
      <c r="I692" s="1544" t="s">
        <v>489</v>
      </c>
      <c r="J692" s="1544" t="s">
        <v>3115</v>
      </c>
      <c r="K692" s="1544"/>
      <c r="L692" s="1544"/>
      <c r="M692" s="1544"/>
      <c r="N692" s="1544"/>
      <c r="O692" s="1544"/>
    </row>
    <row r="693" spans="8:15">
      <c r="H693" s="1543" t="s">
        <v>3116</v>
      </c>
      <c r="I693" s="1544" t="s">
        <v>489</v>
      </c>
      <c r="J693" s="1544" t="s">
        <v>3117</v>
      </c>
      <c r="K693" s="1544"/>
      <c r="L693" s="1544"/>
      <c r="M693" s="1544"/>
      <c r="N693" s="1544"/>
      <c r="O693" s="1544"/>
    </row>
    <row r="694" spans="8:15">
      <c r="H694" s="1543" t="s">
        <v>3118</v>
      </c>
      <c r="I694" s="1544" t="s">
        <v>489</v>
      </c>
      <c r="J694" s="1544" t="s">
        <v>3119</v>
      </c>
      <c r="K694" s="1544"/>
      <c r="L694" s="1544"/>
      <c r="M694" s="1544"/>
      <c r="N694" s="1544"/>
      <c r="O694" s="1544"/>
    </row>
    <row r="695" spans="8:15">
      <c r="H695" s="1543" t="s">
        <v>3120</v>
      </c>
      <c r="I695" s="1544" t="s">
        <v>489</v>
      </c>
      <c r="J695" s="1544" t="s">
        <v>3121</v>
      </c>
      <c r="K695" s="1544"/>
      <c r="L695" s="1544"/>
      <c r="M695" s="1544"/>
      <c r="N695" s="1544"/>
      <c r="O695" s="1544"/>
    </row>
    <row r="696" spans="8:15">
      <c r="H696" s="1543" t="s">
        <v>3122</v>
      </c>
      <c r="I696" s="1544" t="s">
        <v>489</v>
      </c>
      <c r="J696" s="1544" t="s">
        <v>3123</v>
      </c>
      <c r="K696" s="1544"/>
      <c r="L696" s="1544"/>
      <c r="M696" s="1544"/>
      <c r="N696" s="1544"/>
      <c r="O696" s="1544"/>
    </row>
    <row r="697" spans="8:15">
      <c r="H697" s="1543" t="s">
        <v>3124</v>
      </c>
      <c r="I697" s="1544" t="s">
        <v>489</v>
      </c>
      <c r="J697" s="1544" t="s">
        <v>3125</v>
      </c>
      <c r="K697" s="1544"/>
      <c r="L697" s="1544"/>
      <c r="M697" s="1544"/>
      <c r="N697" s="1544"/>
      <c r="O697" s="1544"/>
    </row>
    <row r="698" spans="8:15">
      <c r="H698" s="1543" t="s">
        <v>3126</v>
      </c>
      <c r="I698" s="1544" t="s">
        <v>489</v>
      </c>
      <c r="J698" s="1544" t="s">
        <v>3127</v>
      </c>
      <c r="K698" s="1544"/>
      <c r="L698" s="1544"/>
      <c r="M698" s="1544"/>
      <c r="N698" s="1544"/>
      <c r="O698" s="1544"/>
    </row>
    <row r="699" spans="8:15">
      <c r="H699" s="1543" t="s">
        <v>3128</v>
      </c>
      <c r="I699" s="1544" t="s">
        <v>489</v>
      </c>
      <c r="J699" s="1544" t="s">
        <v>2600</v>
      </c>
      <c r="K699" s="1544"/>
      <c r="L699" s="1544"/>
      <c r="M699" s="1544"/>
      <c r="N699" s="1544"/>
      <c r="O699" s="1544"/>
    </row>
    <row r="700" spans="8:15">
      <c r="H700" s="1543" t="s">
        <v>3129</v>
      </c>
      <c r="I700" s="1544" t="s">
        <v>489</v>
      </c>
      <c r="J700" s="1544" t="s">
        <v>3130</v>
      </c>
      <c r="K700" s="1544"/>
      <c r="L700" s="1544"/>
      <c r="M700" s="1544"/>
      <c r="N700" s="1544"/>
      <c r="O700" s="1544"/>
    </row>
    <row r="701" spans="8:15">
      <c r="H701" s="1543" t="s">
        <v>3131</v>
      </c>
      <c r="I701" s="1544" t="s">
        <v>489</v>
      </c>
      <c r="J701" s="1544" t="s">
        <v>3132</v>
      </c>
      <c r="K701" s="1544"/>
      <c r="L701" s="1544"/>
      <c r="M701" s="1544"/>
      <c r="N701" s="1544"/>
      <c r="O701" s="1544"/>
    </row>
    <row r="702" spans="8:15">
      <c r="H702" s="1543" t="s">
        <v>3133</v>
      </c>
      <c r="I702" s="1544" t="s">
        <v>489</v>
      </c>
      <c r="J702" s="1544" t="s">
        <v>3134</v>
      </c>
      <c r="K702" s="1544"/>
      <c r="L702" s="1544"/>
      <c r="M702" s="1544"/>
      <c r="N702" s="1544"/>
      <c r="O702" s="1544"/>
    </row>
    <row r="703" spans="8:15">
      <c r="H703" s="1543" t="s">
        <v>3135</v>
      </c>
      <c r="I703" s="1544" t="s">
        <v>489</v>
      </c>
      <c r="J703" s="1544" t="s">
        <v>3136</v>
      </c>
      <c r="K703" s="1544"/>
      <c r="L703" s="1544"/>
      <c r="M703" s="1544"/>
      <c r="N703" s="1544"/>
      <c r="O703" s="1544"/>
    </row>
    <row r="704" spans="8:15">
      <c r="H704" s="1543" t="s">
        <v>3137</v>
      </c>
      <c r="I704" s="1544" t="s">
        <v>489</v>
      </c>
      <c r="J704" s="1544" t="s">
        <v>3138</v>
      </c>
      <c r="K704" s="1544"/>
      <c r="L704" s="1544"/>
      <c r="M704" s="1544"/>
      <c r="N704" s="1544"/>
      <c r="O704" s="1544"/>
    </row>
    <row r="705" spans="8:15">
      <c r="H705" s="1543" t="s">
        <v>3139</v>
      </c>
      <c r="I705" s="1544" t="s">
        <v>489</v>
      </c>
      <c r="J705" s="1544" t="s">
        <v>3140</v>
      </c>
      <c r="K705" s="1544"/>
      <c r="L705" s="1544"/>
      <c r="M705" s="1544"/>
      <c r="N705" s="1544"/>
      <c r="O705" s="1544"/>
    </row>
    <row r="706" spans="8:15">
      <c r="H706" s="1543" t="s">
        <v>3141</v>
      </c>
      <c r="I706" s="1544" t="s">
        <v>490</v>
      </c>
      <c r="J706" s="1544"/>
      <c r="K706" s="1544">
        <f>ROW()</f>
        <v>706</v>
      </c>
      <c r="L706" s="1544">
        <f>K706+COUNTIF($I$122:$I$1909,I706)-1</f>
        <v>760</v>
      </c>
      <c r="M706" s="1544"/>
      <c r="N706" s="1544"/>
      <c r="O706" s="1544"/>
    </row>
    <row r="707" spans="8:15">
      <c r="H707" s="1543" t="s">
        <v>1235</v>
      </c>
      <c r="I707" s="1544" t="s">
        <v>490</v>
      </c>
      <c r="J707" s="1544" t="s">
        <v>1234</v>
      </c>
      <c r="K707" s="1544"/>
      <c r="L707" s="1544"/>
      <c r="M707" s="1544"/>
      <c r="N707" s="1544"/>
      <c r="O707" s="1544"/>
    </row>
    <row r="708" spans="8:15">
      <c r="H708" s="1543" t="s">
        <v>3142</v>
      </c>
      <c r="I708" s="1544" t="s">
        <v>490</v>
      </c>
      <c r="J708" s="1544" t="s">
        <v>3143</v>
      </c>
      <c r="K708" s="1544"/>
      <c r="L708" s="1544"/>
      <c r="M708" s="1544"/>
      <c r="N708" s="1544"/>
      <c r="O708" s="1544"/>
    </row>
    <row r="709" spans="8:15">
      <c r="H709" s="1543" t="s">
        <v>3144</v>
      </c>
      <c r="I709" s="1544" t="s">
        <v>490</v>
      </c>
      <c r="J709" s="1544" t="s">
        <v>3145</v>
      </c>
      <c r="K709" s="1544"/>
      <c r="L709" s="1544"/>
      <c r="M709" s="1544"/>
      <c r="N709" s="1544"/>
      <c r="O709" s="1544"/>
    </row>
    <row r="710" spans="8:15">
      <c r="H710" s="1543" t="s">
        <v>1293</v>
      </c>
      <c r="I710" s="1544" t="s">
        <v>490</v>
      </c>
      <c r="J710" s="1544" t="s">
        <v>1292</v>
      </c>
      <c r="K710" s="1544"/>
      <c r="L710" s="1544"/>
      <c r="M710" s="1544"/>
      <c r="N710" s="1544"/>
      <c r="O710" s="1544"/>
    </row>
    <row r="711" spans="8:15">
      <c r="H711" s="1543" t="s">
        <v>3146</v>
      </c>
      <c r="I711" s="1544" t="s">
        <v>490</v>
      </c>
      <c r="J711" s="1544" t="s">
        <v>3147</v>
      </c>
      <c r="K711" s="1544"/>
      <c r="L711" s="1544"/>
      <c r="M711" s="1544"/>
      <c r="N711" s="1544"/>
      <c r="O711" s="1544"/>
    </row>
    <row r="712" spans="8:15">
      <c r="H712" s="1543" t="s">
        <v>3148</v>
      </c>
      <c r="I712" s="1544" t="s">
        <v>490</v>
      </c>
      <c r="J712" s="1544" t="s">
        <v>3149</v>
      </c>
      <c r="K712" s="1544"/>
      <c r="L712" s="1544"/>
      <c r="M712" s="1544"/>
      <c r="N712" s="1544"/>
      <c r="O712" s="1544"/>
    </row>
    <row r="713" spans="8:15">
      <c r="H713" s="1543" t="s">
        <v>3150</v>
      </c>
      <c r="I713" s="1544" t="s">
        <v>490</v>
      </c>
      <c r="J713" s="1544" t="s">
        <v>3151</v>
      </c>
      <c r="K713" s="1544"/>
      <c r="L713" s="1544"/>
      <c r="M713" s="1544"/>
      <c r="N713" s="1544"/>
      <c r="O713" s="1544"/>
    </row>
    <row r="714" spans="8:15">
      <c r="H714" s="1543" t="s">
        <v>3152</v>
      </c>
      <c r="I714" s="1544" t="s">
        <v>490</v>
      </c>
      <c r="J714" s="1544" t="s">
        <v>3153</v>
      </c>
      <c r="K714" s="1544"/>
      <c r="L714" s="1544"/>
      <c r="M714" s="1544"/>
      <c r="N714" s="1544"/>
      <c r="O714" s="1544"/>
    </row>
    <row r="715" spans="8:15">
      <c r="H715" s="1543" t="s">
        <v>3154</v>
      </c>
      <c r="I715" s="1544" t="s">
        <v>490</v>
      </c>
      <c r="J715" s="1544" t="s">
        <v>3155</v>
      </c>
      <c r="K715" s="1544"/>
      <c r="L715" s="1544"/>
      <c r="M715" s="1544"/>
      <c r="N715" s="1544"/>
      <c r="O715" s="1544"/>
    </row>
    <row r="716" spans="8:15">
      <c r="H716" s="1543" t="s">
        <v>3156</v>
      </c>
      <c r="I716" s="1544" t="s">
        <v>490</v>
      </c>
      <c r="J716" s="1544" t="s">
        <v>3157</v>
      </c>
      <c r="K716" s="1544"/>
      <c r="L716" s="1544"/>
      <c r="M716" s="1544"/>
      <c r="N716" s="1544"/>
      <c r="O716" s="1544"/>
    </row>
    <row r="717" spans="8:15">
      <c r="H717" s="1543" t="s">
        <v>3158</v>
      </c>
      <c r="I717" s="1544" t="s">
        <v>490</v>
      </c>
      <c r="J717" s="1544" t="s">
        <v>3159</v>
      </c>
      <c r="K717" s="1544"/>
      <c r="L717" s="1544"/>
      <c r="M717" s="1544"/>
      <c r="N717" s="1544"/>
      <c r="O717" s="1544"/>
    </row>
    <row r="718" spans="8:15">
      <c r="H718" s="1543" t="s">
        <v>3160</v>
      </c>
      <c r="I718" s="1544" t="s">
        <v>490</v>
      </c>
      <c r="J718" s="1544" t="s">
        <v>3161</v>
      </c>
      <c r="K718" s="1544"/>
      <c r="L718" s="1544"/>
      <c r="M718" s="1544"/>
      <c r="N718" s="1544"/>
      <c r="O718" s="1544"/>
    </row>
    <row r="719" spans="8:15">
      <c r="H719" s="1543" t="s">
        <v>3162</v>
      </c>
      <c r="I719" s="1544" t="s">
        <v>490</v>
      </c>
      <c r="J719" s="1544" t="s">
        <v>3163</v>
      </c>
      <c r="K719" s="1544"/>
      <c r="L719" s="1544"/>
      <c r="M719" s="1544"/>
      <c r="N719" s="1544"/>
      <c r="O719" s="1544"/>
    </row>
    <row r="720" spans="8:15">
      <c r="H720" s="1543" t="s">
        <v>3164</v>
      </c>
      <c r="I720" s="1544" t="s">
        <v>490</v>
      </c>
      <c r="J720" s="1544" t="s">
        <v>3165</v>
      </c>
      <c r="K720" s="1544"/>
      <c r="L720" s="1544"/>
      <c r="M720" s="1544"/>
      <c r="N720" s="1544"/>
      <c r="O720" s="1544"/>
    </row>
    <row r="721" spans="8:15">
      <c r="H721" s="1543" t="s">
        <v>1295</v>
      </c>
      <c r="I721" s="1544" t="s">
        <v>490</v>
      </c>
      <c r="J721" s="1544" t="s">
        <v>1294</v>
      </c>
      <c r="K721" s="1544"/>
      <c r="L721" s="1544"/>
      <c r="M721" s="1544"/>
      <c r="N721" s="1544"/>
      <c r="O721" s="1544"/>
    </row>
    <row r="722" spans="8:15">
      <c r="H722" s="1543" t="s">
        <v>3166</v>
      </c>
      <c r="I722" s="1544" t="s">
        <v>490</v>
      </c>
      <c r="J722" s="1544" t="s">
        <v>3167</v>
      </c>
      <c r="K722" s="1544"/>
      <c r="L722" s="1544"/>
      <c r="M722" s="1544"/>
      <c r="N722" s="1544"/>
      <c r="O722" s="1544"/>
    </row>
    <row r="723" spans="8:15">
      <c r="H723" s="1543" t="s">
        <v>3168</v>
      </c>
      <c r="I723" s="1544" t="s">
        <v>490</v>
      </c>
      <c r="J723" s="1544" t="s">
        <v>3169</v>
      </c>
      <c r="K723" s="1544"/>
      <c r="L723" s="1544"/>
      <c r="M723" s="1544"/>
      <c r="N723" s="1544"/>
      <c r="O723" s="1544"/>
    </row>
    <row r="724" spans="8:15">
      <c r="H724" s="1543" t="s">
        <v>3170</v>
      </c>
      <c r="I724" s="1544" t="s">
        <v>490</v>
      </c>
      <c r="J724" s="1544" t="s">
        <v>3171</v>
      </c>
      <c r="K724" s="1544"/>
      <c r="L724" s="1544"/>
      <c r="M724" s="1544"/>
      <c r="N724" s="1544"/>
      <c r="O724" s="1544"/>
    </row>
    <row r="725" spans="8:15">
      <c r="H725" s="1543" t="s">
        <v>3172</v>
      </c>
      <c r="I725" s="1544" t="s">
        <v>490</v>
      </c>
      <c r="J725" s="1544" t="s">
        <v>3173</v>
      </c>
      <c r="K725" s="1544"/>
      <c r="L725" s="1544"/>
      <c r="M725" s="1544"/>
      <c r="N725" s="1544"/>
      <c r="O725" s="1544"/>
    </row>
    <row r="726" spans="8:15">
      <c r="H726" s="1543" t="s">
        <v>3174</v>
      </c>
      <c r="I726" s="1544" t="s">
        <v>490</v>
      </c>
      <c r="J726" s="1544" t="s">
        <v>3175</v>
      </c>
      <c r="K726" s="1544"/>
      <c r="L726" s="1544"/>
      <c r="M726" s="1544"/>
      <c r="N726" s="1544"/>
      <c r="O726" s="1544"/>
    </row>
    <row r="727" spans="8:15">
      <c r="H727" s="1543" t="s">
        <v>3176</v>
      </c>
      <c r="I727" s="1544" t="s">
        <v>490</v>
      </c>
      <c r="J727" s="1544" t="s">
        <v>3177</v>
      </c>
      <c r="K727" s="1544"/>
      <c r="L727" s="1544"/>
      <c r="M727" s="1544"/>
      <c r="N727" s="1544"/>
      <c r="O727" s="1544"/>
    </row>
    <row r="728" spans="8:15">
      <c r="H728" s="1543" t="s">
        <v>3178</v>
      </c>
      <c r="I728" s="1544" t="s">
        <v>490</v>
      </c>
      <c r="J728" s="1544" t="s">
        <v>3179</v>
      </c>
      <c r="K728" s="1544"/>
      <c r="L728" s="1544"/>
      <c r="M728" s="1544"/>
      <c r="N728" s="1544"/>
      <c r="O728" s="1544"/>
    </row>
    <row r="729" spans="8:15">
      <c r="H729" s="1543" t="s">
        <v>3180</v>
      </c>
      <c r="I729" s="1544" t="s">
        <v>490</v>
      </c>
      <c r="J729" s="1544" t="s">
        <v>3181</v>
      </c>
      <c r="K729" s="1544"/>
      <c r="L729" s="1544"/>
      <c r="M729" s="1544"/>
      <c r="N729" s="1544"/>
      <c r="O729" s="1544"/>
    </row>
    <row r="730" spans="8:15">
      <c r="H730" s="1543" t="s">
        <v>3182</v>
      </c>
      <c r="I730" s="1544" t="s">
        <v>490</v>
      </c>
      <c r="J730" s="1544" t="s">
        <v>3183</v>
      </c>
      <c r="K730" s="1544"/>
      <c r="L730" s="1544"/>
      <c r="M730" s="1544"/>
      <c r="N730" s="1544"/>
      <c r="O730" s="1544"/>
    </row>
    <row r="731" spans="8:15">
      <c r="H731" s="1543" t="s">
        <v>3184</v>
      </c>
      <c r="I731" s="1544" t="s">
        <v>490</v>
      </c>
      <c r="J731" s="1544" t="s">
        <v>3185</v>
      </c>
      <c r="K731" s="1544"/>
      <c r="L731" s="1544"/>
      <c r="M731" s="1544"/>
      <c r="N731" s="1544"/>
      <c r="O731" s="1544"/>
    </row>
    <row r="732" spans="8:15">
      <c r="H732" s="1543" t="s">
        <v>3186</v>
      </c>
      <c r="I732" s="1544" t="s">
        <v>490</v>
      </c>
      <c r="J732" s="1544" t="s">
        <v>3187</v>
      </c>
      <c r="K732" s="1544"/>
      <c r="L732" s="1544"/>
      <c r="M732" s="1544"/>
      <c r="N732" s="1544"/>
      <c r="O732" s="1544"/>
    </row>
    <row r="733" spans="8:15">
      <c r="H733" s="1543" t="s">
        <v>3188</v>
      </c>
      <c r="I733" s="1544" t="s">
        <v>490</v>
      </c>
      <c r="J733" s="1544" t="s">
        <v>3189</v>
      </c>
      <c r="K733" s="1544"/>
      <c r="L733" s="1544"/>
      <c r="M733" s="1544"/>
      <c r="N733" s="1544"/>
      <c r="O733" s="1544"/>
    </row>
    <row r="734" spans="8:15">
      <c r="H734" s="1543" t="s">
        <v>3190</v>
      </c>
      <c r="I734" s="1544" t="s">
        <v>490</v>
      </c>
      <c r="J734" s="1544" t="s">
        <v>3191</v>
      </c>
      <c r="K734" s="1544"/>
      <c r="L734" s="1544"/>
      <c r="M734" s="1544"/>
      <c r="N734" s="1544"/>
      <c r="O734" s="1544"/>
    </row>
    <row r="735" spans="8:15">
      <c r="H735" s="1543" t="s">
        <v>3192</v>
      </c>
      <c r="I735" s="1544" t="s">
        <v>490</v>
      </c>
      <c r="J735" s="1544" t="s">
        <v>3193</v>
      </c>
      <c r="K735" s="1544"/>
      <c r="L735" s="1544"/>
      <c r="M735" s="1544"/>
      <c r="N735" s="1544"/>
      <c r="O735" s="1544"/>
    </row>
    <row r="736" spans="8:15">
      <c r="H736" s="1543" t="s">
        <v>3194</v>
      </c>
      <c r="I736" s="1544" t="s">
        <v>490</v>
      </c>
      <c r="J736" s="1544" t="s">
        <v>3195</v>
      </c>
      <c r="K736" s="1544"/>
      <c r="L736" s="1544"/>
      <c r="M736" s="1544"/>
      <c r="N736" s="1544"/>
      <c r="O736" s="1544"/>
    </row>
    <row r="737" spans="8:15">
      <c r="H737" s="1543" t="s">
        <v>3196</v>
      </c>
      <c r="I737" s="1544" t="s">
        <v>490</v>
      </c>
      <c r="J737" s="1544" t="s">
        <v>3197</v>
      </c>
      <c r="K737" s="1544"/>
      <c r="L737" s="1544"/>
      <c r="M737" s="1544"/>
      <c r="N737" s="1544"/>
      <c r="O737" s="1544"/>
    </row>
    <row r="738" spans="8:15">
      <c r="H738" s="1543" t="s">
        <v>3198</v>
      </c>
      <c r="I738" s="1544" t="s">
        <v>490</v>
      </c>
      <c r="J738" s="1544" t="s">
        <v>3199</v>
      </c>
      <c r="K738" s="1544"/>
      <c r="L738" s="1544"/>
      <c r="M738" s="1544"/>
      <c r="N738" s="1544"/>
      <c r="O738" s="1544"/>
    </row>
    <row r="739" spans="8:15">
      <c r="H739" s="1543" t="s">
        <v>3200</v>
      </c>
      <c r="I739" s="1544" t="s">
        <v>490</v>
      </c>
      <c r="J739" s="1544" t="s">
        <v>3201</v>
      </c>
      <c r="K739" s="1544"/>
      <c r="L739" s="1544"/>
      <c r="M739" s="1544"/>
      <c r="N739" s="1544"/>
      <c r="O739" s="1544"/>
    </row>
    <row r="740" spans="8:15">
      <c r="H740" s="1543" t="s">
        <v>3202</v>
      </c>
      <c r="I740" s="1544" t="s">
        <v>490</v>
      </c>
      <c r="J740" s="1544" t="s">
        <v>3203</v>
      </c>
      <c r="K740" s="1544"/>
      <c r="L740" s="1544"/>
      <c r="M740" s="1544"/>
      <c r="N740" s="1544"/>
      <c r="O740" s="1544"/>
    </row>
    <row r="741" spans="8:15">
      <c r="H741" s="1543" t="s">
        <v>3204</v>
      </c>
      <c r="I741" s="1544" t="s">
        <v>490</v>
      </c>
      <c r="J741" s="1544" t="s">
        <v>3205</v>
      </c>
      <c r="K741" s="1544"/>
      <c r="L741" s="1544"/>
      <c r="M741" s="1544"/>
      <c r="N741" s="1544"/>
      <c r="O741" s="1544"/>
    </row>
    <row r="742" spans="8:15">
      <c r="H742" s="1543" t="s">
        <v>3206</v>
      </c>
      <c r="I742" s="1544" t="s">
        <v>490</v>
      </c>
      <c r="J742" s="1544" t="s">
        <v>3207</v>
      </c>
      <c r="K742" s="1544"/>
      <c r="L742" s="1544"/>
      <c r="M742" s="1544"/>
      <c r="N742" s="1544"/>
      <c r="O742" s="1544"/>
    </row>
    <row r="743" spans="8:15">
      <c r="H743" s="1543" t="s">
        <v>3208</v>
      </c>
      <c r="I743" s="1544" t="s">
        <v>490</v>
      </c>
      <c r="J743" s="1544" t="s">
        <v>3209</v>
      </c>
      <c r="K743" s="1544"/>
      <c r="L743" s="1544"/>
      <c r="M743" s="1544"/>
      <c r="N743" s="1544"/>
      <c r="O743" s="1544"/>
    </row>
    <row r="744" spans="8:15">
      <c r="H744" s="1543" t="s">
        <v>3210</v>
      </c>
      <c r="I744" s="1544" t="s">
        <v>490</v>
      </c>
      <c r="J744" s="1544" t="s">
        <v>3211</v>
      </c>
      <c r="K744" s="1544"/>
      <c r="L744" s="1544"/>
      <c r="M744" s="1544"/>
      <c r="N744" s="1544"/>
      <c r="O744" s="1544"/>
    </row>
    <row r="745" spans="8:15">
      <c r="H745" s="1543" t="s">
        <v>3212</v>
      </c>
      <c r="I745" s="1544" t="s">
        <v>490</v>
      </c>
      <c r="J745" s="1544" t="s">
        <v>3213</v>
      </c>
      <c r="K745" s="1544"/>
      <c r="L745" s="1544"/>
      <c r="M745" s="1544"/>
      <c r="N745" s="1544"/>
      <c r="O745" s="1544"/>
    </row>
    <row r="746" spans="8:15">
      <c r="H746" s="1543" t="s">
        <v>3214</v>
      </c>
      <c r="I746" s="1544" t="s">
        <v>490</v>
      </c>
      <c r="J746" s="1544" t="s">
        <v>3215</v>
      </c>
      <c r="K746" s="1544"/>
      <c r="L746" s="1544"/>
      <c r="M746" s="1544"/>
      <c r="N746" s="1544"/>
      <c r="O746" s="1544"/>
    </row>
    <row r="747" spans="8:15">
      <c r="H747" s="1543" t="s">
        <v>3216</v>
      </c>
      <c r="I747" s="1544" t="s">
        <v>490</v>
      </c>
      <c r="J747" s="1544" t="s">
        <v>3217</v>
      </c>
      <c r="K747" s="1544"/>
      <c r="L747" s="1544"/>
      <c r="M747" s="1544"/>
      <c r="N747" s="1544"/>
      <c r="O747" s="1544"/>
    </row>
    <row r="748" spans="8:15">
      <c r="H748" s="1543" t="s">
        <v>3218</v>
      </c>
      <c r="I748" s="1544" t="s">
        <v>490</v>
      </c>
      <c r="J748" s="1544" t="s">
        <v>3219</v>
      </c>
      <c r="K748" s="1544"/>
      <c r="L748" s="1544"/>
      <c r="M748" s="1544"/>
      <c r="N748" s="1544"/>
      <c r="O748" s="1544"/>
    </row>
    <row r="749" spans="8:15">
      <c r="H749" s="1543" t="s">
        <v>3220</v>
      </c>
      <c r="I749" s="1544" t="s">
        <v>490</v>
      </c>
      <c r="J749" s="1544" t="s">
        <v>3221</v>
      </c>
      <c r="K749" s="1544"/>
      <c r="L749" s="1544"/>
      <c r="M749" s="1544"/>
      <c r="N749" s="1544"/>
      <c r="O749" s="1544"/>
    </row>
    <row r="750" spans="8:15">
      <c r="H750" s="1543" t="s">
        <v>3222</v>
      </c>
      <c r="I750" s="1544" t="s">
        <v>490</v>
      </c>
      <c r="J750" s="1544" t="s">
        <v>3223</v>
      </c>
      <c r="K750" s="1544"/>
      <c r="L750" s="1544"/>
      <c r="M750" s="1544"/>
      <c r="N750" s="1544"/>
      <c r="O750" s="1544"/>
    </row>
    <row r="751" spans="8:15">
      <c r="H751" s="1543" t="s">
        <v>3224</v>
      </c>
      <c r="I751" s="1544" t="s">
        <v>490</v>
      </c>
      <c r="J751" s="1544" t="s">
        <v>3225</v>
      </c>
      <c r="K751" s="1544"/>
      <c r="L751" s="1544"/>
      <c r="M751" s="1544"/>
      <c r="N751" s="1544"/>
      <c r="O751" s="1544"/>
    </row>
    <row r="752" spans="8:15">
      <c r="H752" s="1543" t="s">
        <v>3226</v>
      </c>
      <c r="I752" s="1544" t="s">
        <v>490</v>
      </c>
      <c r="J752" s="1544" t="s">
        <v>3227</v>
      </c>
      <c r="K752" s="1544"/>
      <c r="L752" s="1544"/>
      <c r="M752" s="1544"/>
      <c r="N752" s="1544"/>
      <c r="O752" s="1544"/>
    </row>
    <row r="753" spans="8:15">
      <c r="H753" s="1543" t="s">
        <v>3228</v>
      </c>
      <c r="I753" s="1544" t="s">
        <v>490</v>
      </c>
      <c r="J753" s="1544" t="s">
        <v>3229</v>
      </c>
      <c r="K753" s="1544"/>
      <c r="L753" s="1544"/>
      <c r="M753" s="1544"/>
      <c r="N753" s="1544"/>
      <c r="O753" s="1544"/>
    </row>
    <row r="754" spans="8:15">
      <c r="H754" s="1543" t="s">
        <v>3230</v>
      </c>
      <c r="I754" s="1544" t="s">
        <v>490</v>
      </c>
      <c r="J754" s="1544" t="s">
        <v>3231</v>
      </c>
      <c r="K754" s="1544"/>
      <c r="L754" s="1544"/>
      <c r="M754" s="1544"/>
      <c r="N754" s="1544"/>
      <c r="O754" s="1544"/>
    </row>
    <row r="755" spans="8:15">
      <c r="H755" s="1543" t="s">
        <v>3232</v>
      </c>
      <c r="I755" s="1544" t="s">
        <v>490</v>
      </c>
      <c r="J755" s="1544" t="s">
        <v>3233</v>
      </c>
      <c r="K755" s="1544"/>
      <c r="L755" s="1544"/>
      <c r="M755" s="1544"/>
      <c r="N755" s="1544"/>
      <c r="O755" s="1544"/>
    </row>
    <row r="756" spans="8:15">
      <c r="H756" s="1543" t="s">
        <v>3234</v>
      </c>
      <c r="I756" s="1544" t="s">
        <v>490</v>
      </c>
      <c r="J756" s="1544" t="s">
        <v>3235</v>
      </c>
      <c r="K756" s="1544"/>
      <c r="L756" s="1544"/>
      <c r="M756" s="1544"/>
      <c r="N756" s="1544"/>
      <c r="O756" s="1544"/>
    </row>
    <row r="757" spans="8:15">
      <c r="H757" s="1543" t="s">
        <v>3236</v>
      </c>
      <c r="I757" s="1544" t="s">
        <v>490</v>
      </c>
      <c r="J757" s="1544" t="s">
        <v>3237</v>
      </c>
      <c r="K757" s="1544"/>
      <c r="L757" s="1544"/>
      <c r="M757" s="1544"/>
      <c r="N757" s="1544"/>
      <c r="O757" s="1544"/>
    </row>
    <row r="758" spans="8:15">
      <c r="H758" s="1543" t="s">
        <v>3238</v>
      </c>
      <c r="I758" s="1544" t="s">
        <v>490</v>
      </c>
      <c r="J758" s="1544" t="s">
        <v>3239</v>
      </c>
      <c r="K758" s="1544"/>
      <c r="L758" s="1544"/>
      <c r="M758" s="1544"/>
      <c r="N758" s="1544"/>
      <c r="O758" s="1544"/>
    </row>
    <row r="759" spans="8:15">
      <c r="H759" s="1543" t="s">
        <v>3240</v>
      </c>
      <c r="I759" s="1544" t="s">
        <v>490</v>
      </c>
      <c r="J759" s="1544" t="s">
        <v>3241</v>
      </c>
      <c r="K759" s="1544"/>
      <c r="L759" s="1544"/>
      <c r="M759" s="1544"/>
      <c r="N759" s="1544"/>
      <c r="O759" s="1544"/>
    </row>
    <row r="760" spans="8:15">
      <c r="H760" s="1543" t="s">
        <v>3242</v>
      </c>
      <c r="I760" s="1544" t="s">
        <v>490</v>
      </c>
      <c r="J760" s="1544" t="s">
        <v>3243</v>
      </c>
      <c r="K760" s="1544"/>
      <c r="L760" s="1544"/>
      <c r="M760" s="1544"/>
      <c r="N760" s="1544"/>
      <c r="O760" s="1544"/>
    </row>
    <row r="761" spans="8:15">
      <c r="H761" s="1543" t="s">
        <v>3244</v>
      </c>
      <c r="I761" s="1544" t="s">
        <v>2021</v>
      </c>
      <c r="J761" s="1544"/>
      <c r="K761" s="1544">
        <f>ROW()</f>
        <v>761</v>
      </c>
      <c r="L761" s="1544">
        <f>K761+COUNTIF($I$122:$I$1909,I761)-1</f>
        <v>823</v>
      </c>
      <c r="M761" s="1544"/>
      <c r="N761" s="1544"/>
      <c r="O761" s="1544"/>
    </row>
    <row r="762" spans="8:15">
      <c r="H762" s="1543" t="s">
        <v>1183</v>
      </c>
      <c r="I762" s="1544" t="s">
        <v>2021</v>
      </c>
      <c r="J762" s="1544" t="s">
        <v>1182</v>
      </c>
      <c r="K762" s="1544"/>
      <c r="L762" s="1544"/>
      <c r="M762" s="1544"/>
      <c r="N762" s="1544"/>
      <c r="O762" s="1544"/>
    </row>
    <row r="763" spans="8:15">
      <c r="H763" s="1543" t="s">
        <v>1185</v>
      </c>
      <c r="I763" s="1544" t="s">
        <v>2021</v>
      </c>
      <c r="J763" s="1544" t="s">
        <v>1184</v>
      </c>
      <c r="K763" s="1544"/>
      <c r="L763" s="1544"/>
      <c r="M763" s="1544"/>
      <c r="N763" s="1544"/>
      <c r="O763" s="1544"/>
    </row>
    <row r="764" spans="8:15">
      <c r="H764" s="1543" t="s">
        <v>1187</v>
      </c>
      <c r="I764" s="1544" t="s">
        <v>2021</v>
      </c>
      <c r="J764" s="1544" t="s">
        <v>1186</v>
      </c>
      <c r="K764" s="1544"/>
      <c r="L764" s="1544"/>
      <c r="M764" s="1544"/>
      <c r="N764" s="1544"/>
      <c r="O764" s="1544"/>
    </row>
    <row r="765" spans="8:15">
      <c r="H765" s="1543" t="s">
        <v>1189</v>
      </c>
      <c r="I765" s="1544" t="s">
        <v>2021</v>
      </c>
      <c r="J765" s="1544" t="s">
        <v>1188</v>
      </c>
      <c r="K765" s="1544"/>
      <c r="L765" s="1544"/>
      <c r="M765" s="1544"/>
      <c r="N765" s="1544"/>
      <c r="O765" s="1544"/>
    </row>
    <row r="766" spans="8:15">
      <c r="H766" s="1543" t="s">
        <v>1191</v>
      </c>
      <c r="I766" s="1544" t="s">
        <v>2021</v>
      </c>
      <c r="J766" s="1544" t="s">
        <v>1190</v>
      </c>
      <c r="K766" s="1544"/>
      <c r="L766" s="1544"/>
      <c r="M766" s="1544"/>
      <c r="N766" s="1544"/>
      <c r="O766" s="1544"/>
    </row>
    <row r="767" spans="8:15">
      <c r="H767" s="1543" t="s">
        <v>1193</v>
      </c>
      <c r="I767" s="1544" t="s">
        <v>2021</v>
      </c>
      <c r="J767" s="1544" t="s">
        <v>1192</v>
      </c>
      <c r="K767" s="1544"/>
      <c r="L767" s="1544"/>
      <c r="M767" s="1544"/>
      <c r="N767" s="1544"/>
      <c r="O767" s="1544"/>
    </row>
    <row r="768" spans="8:15">
      <c r="H768" s="1543" t="s">
        <v>1195</v>
      </c>
      <c r="I768" s="1544" t="s">
        <v>2021</v>
      </c>
      <c r="J768" s="1544" t="s">
        <v>1194</v>
      </c>
      <c r="K768" s="1544"/>
      <c r="L768" s="1544"/>
      <c r="M768" s="1544"/>
      <c r="N768" s="1544"/>
      <c r="O768" s="1544"/>
    </row>
    <row r="769" spans="8:15">
      <c r="H769" s="1543" t="s">
        <v>1197</v>
      </c>
      <c r="I769" s="1544" t="s">
        <v>2021</v>
      </c>
      <c r="J769" s="1544" t="s">
        <v>1196</v>
      </c>
      <c r="K769" s="1544"/>
      <c r="L769" s="1544"/>
      <c r="M769" s="1544"/>
      <c r="N769" s="1544"/>
      <c r="O769" s="1544"/>
    </row>
    <row r="770" spans="8:15">
      <c r="H770" s="1543" t="s">
        <v>1199</v>
      </c>
      <c r="I770" s="1544" t="s">
        <v>2021</v>
      </c>
      <c r="J770" s="1544" t="s">
        <v>1198</v>
      </c>
      <c r="K770" s="1544"/>
      <c r="L770" s="1544"/>
      <c r="M770" s="1544"/>
      <c r="N770" s="1544"/>
      <c r="O770" s="1544"/>
    </row>
    <row r="771" spans="8:15">
      <c r="H771" s="1543" t="s">
        <v>1201</v>
      </c>
      <c r="I771" s="1544" t="s">
        <v>2021</v>
      </c>
      <c r="J771" s="1544" t="s">
        <v>1200</v>
      </c>
      <c r="K771" s="1544"/>
      <c r="L771" s="1544"/>
      <c r="M771" s="1544"/>
      <c r="N771" s="1544"/>
      <c r="O771" s="1544"/>
    </row>
    <row r="772" spans="8:15">
      <c r="H772" s="1543" t="s">
        <v>1203</v>
      </c>
      <c r="I772" s="1544" t="s">
        <v>2021</v>
      </c>
      <c r="J772" s="1544" t="s">
        <v>1202</v>
      </c>
      <c r="K772" s="1544"/>
      <c r="L772" s="1544"/>
      <c r="M772" s="1544"/>
      <c r="N772" s="1544"/>
      <c r="O772" s="1544"/>
    </row>
    <row r="773" spans="8:15">
      <c r="H773" s="1543" t="s">
        <v>1205</v>
      </c>
      <c r="I773" s="1544" t="s">
        <v>2021</v>
      </c>
      <c r="J773" s="1544" t="s">
        <v>1204</v>
      </c>
      <c r="K773" s="1544"/>
      <c r="L773" s="1544"/>
      <c r="M773" s="1544"/>
      <c r="N773" s="1544"/>
      <c r="O773" s="1544"/>
    </row>
    <row r="774" spans="8:15">
      <c r="H774" s="1543" t="s">
        <v>1207</v>
      </c>
      <c r="I774" s="1544" t="s">
        <v>2021</v>
      </c>
      <c r="J774" s="1544" t="s">
        <v>1206</v>
      </c>
      <c r="K774" s="1544"/>
      <c r="L774" s="1544"/>
      <c r="M774" s="1544"/>
      <c r="N774" s="1544"/>
      <c r="O774" s="1544"/>
    </row>
    <row r="775" spans="8:15">
      <c r="H775" s="1543" t="s">
        <v>1209</v>
      </c>
      <c r="I775" s="1544" t="s">
        <v>2021</v>
      </c>
      <c r="J775" s="1544" t="s">
        <v>1208</v>
      </c>
      <c r="K775" s="1544"/>
      <c r="L775" s="1544"/>
      <c r="M775" s="1544"/>
      <c r="N775" s="1544"/>
      <c r="O775" s="1544"/>
    </row>
    <row r="776" spans="8:15">
      <c r="H776" s="1543" t="s">
        <v>1211</v>
      </c>
      <c r="I776" s="1544" t="s">
        <v>2021</v>
      </c>
      <c r="J776" s="1544" t="s">
        <v>1210</v>
      </c>
      <c r="K776" s="1544"/>
      <c r="L776" s="1544"/>
      <c r="M776" s="1544"/>
      <c r="N776" s="1544"/>
      <c r="O776" s="1544"/>
    </row>
    <row r="777" spans="8:15">
      <c r="H777" s="1543" t="s">
        <v>1213</v>
      </c>
      <c r="I777" s="1544" t="s">
        <v>2021</v>
      </c>
      <c r="J777" s="1544" t="s">
        <v>1212</v>
      </c>
      <c r="K777" s="1544"/>
      <c r="L777" s="1544"/>
      <c r="M777" s="1544"/>
      <c r="N777" s="1544"/>
      <c r="O777" s="1544"/>
    </row>
    <row r="778" spans="8:15">
      <c r="H778" s="1543" t="s">
        <v>1215</v>
      </c>
      <c r="I778" s="1544" t="s">
        <v>2021</v>
      </c>
      <c r="J778" s="1544" t="s">
        <v>1214</v>
      </c>
      <c r="K778" s="1544"/>
      <c r="L778" s="1544"/>
      <c r="M778" s="1544"/>
      <c r="N778" s="1544"/>
      <c r="O778" s="1544"/>
    </row>
    <row r="779" spans="8:15">
      <c r="H779" s="1543" t="s">
        <v>1217</v>
      </c>
      <c r="I779" s="1544" t="s">
        <v>2021</v>
      </c>
      <c r="J779" s="1544" t="s">
        <v>1216</v>
      </c>
      <c r="K779" s="1544"/>
      <c r="L779" s="1544"/>
      <c r="M779" s="1544"/>
      <c r="N779" s="1544"/>
      <c r="O779" s="1544"/>
    </row>
    <row r="780" spans="8:15">
      <c r="H780" s="1543" t="s">
        <v>1219</v>
      </c>
      <c r="I780" s="1544" t="s">
        <v>2021</v>
      </c>
      <c r="J780" s="1544" t="s">
        <v>1218</v>
      </c>
      <c r="K780" s="1544"/>
      <c r="L780" s="1544"/>
      <c r="M780" s="1544"/>
      <c r="N780" s="1544"/>
      <c r="O780" s="1544"/>
    </row>
    <row r="781" spans="8:15">
      <c r="H781" s="1543" t="s">
        <v>1221</v>
      </c>
      <c r="I781" s="1544" t="s">
        <v>2021</v>
      </c>
      <c r="J781" s="1544" t="s">
        <v>1220</v>
      </c>
      <c r="K781" s="1544"/>
      <c r="L781" s="1544"/>
      <c r="M781" s="1544"/>
      <c r="N781" s="1544"/>
      <c r="O781" s="1544"/>
    </row>
    <row r="782" spans="8:15">
      <c r="H782" s="1543" t="s">
        <v>1223</v>
      </c>
      <c r="I782" s="1544" t="s">
        <v>2021</v>
      </c>
      <c r="J782" s="1544" t="s">
        <v>1222</v>
      </c>
      <c r="K782" s="1544"/>
      <c r="L782" s="1544"/>
      <c r="M782" s="1544"/>
      <c r="N782" s="1544"/>
      <c r="O782" s="1544"/>
    </row>
    <row r="783" spans="8:15">
      <c r="H783" s="1543" t="s">
        <v>1225</v>
      </c>
      <c r="I783" s="1544" t="s">
        <v>2021</v>
      </c>
      <c r="J783" s="1544" t="s">
        <v>1224</v>
      </c>
      <c r="K783" s="1544"/>
      <c r="L783" s="1544"/>
      <c r="M783" s="1544"/>
      <c r="N783" s="1544"/>
      <c r="O783" s="1544"/>
    </row>
    <row r="784" spans="8:15">
      <c r="H784" s="1543" t="s">
        <v>1227</v>
      </c>
      <c r="I784" s="1544" t="s">
        <v>2021</v>
      </c>
      <c r="J784" s="1544" t="s">
        <v>1226</v>
      </c>
      <c r="K784" s="1544"/>
      <c r="L784" s="1544"/>
      <c r="M784" s="1544"/>
      <c r="N784" s="1544"/>
      <c r="O784" s="1544"/>
    </row>
    <row r="785" spans="8:15">
      <c r="H785" s="1543" t="s">
        <v>1297</v>
      </c>
      <c r="I785" s="1544" t="s">
        <v>2021</v>
      </c>
      <c r="J785" s="1544" t="s">
        <v>1296</v>
      </c>
      <c r="K785" s="1544"/>
      <c r="L785" s="1544"/>
      <c r="M785" s="1544"/>
      <c r="N785" s="1544"/>
      <c r="O785" s="1544"/>
    </row>
    <row r="786" spans="8:15">
      <c r="H786" s="1543" t="s">
        <v>3245</v>
      </c>
      <c r="I786" s="1544" t="s">
        <v>2021</v>
      </c>
      <c r="J786" s="1544" t="s">
        <v>3246</v>
      </c>
      <c r="K786" s="1544"/>
      <c r="L786" s="1544"/>
      <c r="M786" s="1544"/>
      <c r="N786" s="1544"/>
      <c r="O786" s="1544"/>
    </row>
    <row r="787" spans="8:15">
      <c r="H787" s="1543" t="s">
        <v>3247</v>
      </c>
      <c r="I787" s="1544" t="s">
        <v>2021</v>
      </c>
      <c r="J787" s="1544" t="s">
        <v>3248</v>
      </c>
      <c r="K787" s="1544"/>
      <c r="L787" s="1544"/>
      <c r="M787" s="1544"/>
      <c r="N787" s="1544"/>
      <c r="O787" s="1544"/>
    </row>
    <row r="788" spans="8:15">
      <c r="H788" s="1543" t="s">
        <v>3249</v>
      </c>
      <c r="I788" s="1544" t="s">
        <v>2021</v>
      </c>
      <c r="J788" s="1544" t="s">
        <v>3250</v>
      </c>
      <c r="K788" s="1544"/>
      <c r="L788" s="1544"/>
      <c r="M788" s="1544"/>
      <c r="N788" s="1544"/>
      <c r="O788" s="1544"/>
    </row>
    <row r="789" spans="8:15">
      <c r="H789" s="1543" t="s">
        <v>3251</v>
      </c>
      <c r="I789" s="1544" t="s">
        <v>2021</v>
      </c>
      <c r="J789" s="1544" t="s">
        <v>3252</v>
      </c>
      <c r="K789" s="1544"/>
      <c r="L789" s="1544"/>
      <c r="M789" s="1544"/>
      <c r="N789" s="1544"/>
      <c r="O789" s="1544"/>
    </row>
    <row r="790" spans="8:15">
      <c r="H790" s="1543" t="s">
        <v>3253</v>
      </c>
      <c r="I790" s="1544" t="s">
        <v>2021</v>
      </c>
      <c r="J790" s="1544" t="s">
        <v>3254</v>
      </c>
      <c r="K790" s="1544"/>
      <c r="L790" s="1544"/>
      <c r="M790" s="1544"/>
      <c r="N790" s="1544"/>
      <c r="O790" s="1544"/>
    </row>
    <row r="791" spans="8:15">
      <c r="H791" s="1543" t="s">
        <v>3255</v>
      </c>
      <c r="I791" s="1544" t="s">
        <v>2021</v>
      </c>
      <c r="J791" s="1544" t="s">
        <v>3256</v>
      </c>
      <c r="K791" s="1544"/>
      <c r="L791" s="1544"/>
      <c r="M791" s="1544"/>
      <c r="N791" s="1544"/>
      <c r="O791" s="1544"/>
    </row>
    <row r="792" spans="8:15">
      <c r="H792" s="1543" t="s">
        <v>3257</v>
      </c>
      <c r="I792" s="1544" t="s">
        <v>2021</v>
      </c>
      <c r="J792" s="1544" t="s">
        <v>3258</v>
      </c>
      <c r="K792" s="1544"/>
      <c r="L792" s="1544"/>
      <c r="M792" s="1544"/>
      <c r="N792" s="1544"/>
      <c r="O792" s="1544"/>
    </row>
    <row r="793" spans="8:15">
      <c r="H793" s="1543" t="s">
        <v>3259</v>
      </c>
      <c r="I793" s="1544" t="s">
        <v>2021</v>
      </c>
      <c r="J793" s="1544" t="s">
        <v>3260</v>
      </c>
      <c r="K793" s="1544"/>
      <c r="L793" s="1544"/>
      <c r="M793" s="1544"/>
      <c r="N793" s="1544"/>
      <c r="O793" s="1544"/>
    </row>
    <row r="794" spans="8:15">
      <c r="H794" s="1543" t="s">
        <v>3261</v>
      </c>
      <c r="I794" s="1544" t="s">
        <v>2021</v>
      </c>
      <c r="J794" s="1544" t="s">
        <v>3262</v>
      </c>
      <c r="K794" s="1544"/>
      <c r="L794" s="1544"/>
      <c r="M794" s="1544"/>
      <c r="N794" s="1544"/>
      <c r="O794" s="1544"/>
    </row>
    <row r="795" spans="8:15">
      <c r="H795" s="1543" t="s">
        <v>3263</v>
      </c>
      <c r="I795" s="1544" t="s">
        <v>2021</v>
      </c>
      <c r="J795" s="1544" t="s">
        <v>3264</v>
      </c>
      <c r="K795" s="1544"/>
      <c r="L795" s="1544"/>
      <c r="M795" s="1544"/>
      <c r="N795" s="1544"/>
      <c r="O795" s="1544"/>
    </row>
    <row r="796" spans="8:15">
      <c r="H796" s="1543" t="s">
        <v>3265</v>
      </c>
      <c r="I796" s="1544" t="s">
        <v>2021</v>
      </c>
      <c r="J796" s="1544" t="s">
        <v>3266</v>
      </c>
      <c r="K796" s="1544"/>
      <c r="L796" s="1544"/>
      <c r="M796" s="1544"/>
      <c r="N796" s="1544"/>
      <c r="O796" s="1544"/>
    </row>
    <row r="797" spans="8:15">
      <c r="H797" s="1543" t="s">
        <v>3267</v>
      </c>
      <c r="I797" s="1544" t="s">
        <v>2021</v>
      </c>
      <c r="J797" s="1544" t="s">
        <v>3268</v>
      </c>
      <c r="K797" s="1544"/>
      <c r="L797" s="1544"/>
      <c r="M797" s="1544"/>
      <c r="N797" s="1544"/>
      <c r="O797" s="1544"/>
    </row>
    <row r="798" spans="8:15">
      <c r="H798" s="1543" t="s">
        <v>3269</v>
      </c>
      <c r="I798" s="1544" t="s">
        <v>2021</v>
      </c>
      <c r="J798" s="1544" t="s">
        <v>3270</v>
      </c>
      <c r="K798" s="1544"/>
      <c r="L798" s="1544"/>
      <c r="M798" s="1544"/>
      <c r="N798" s="1544"/>
      <c r="O798" s="1544"/>
    </row>
    <row r="799" spans="8:15">
      <c r="H799" s="1543" t="s">
        <v>3271</v>
      </c>
      <c r="I799" s="1544" t="s">
        <v>2021</v>
      </c>
      <c r="J799" s="1544" t="s">
        <v>3272</v>
      </c>
      <c r="K799" s="1544"/>
      <c r="L799" s="1544"/>
      <c r="M799" s="1544"/>
      <c r="N799" s="1544"/>
      <c r="O799" s="1544"/>
    </row>
    <row r="800" spans="8:15">
      <c r="H800" s="1543" t="s">
        <v>3273</v>
      </c>
      <c r="I800" s="1544" t="s">
        <v>2021</v>
      </c>
      <c r="J800" s="1544" t="s">
        <v>3274</v>
      </c>
      <c r="K800" s="1544"/>
      <c r="L800" s="1544"/>
      <c r="M800" s="1544"/>
      <c r="N800" s="1544"/>
      <c r="O800" s="1544"/>
    </row>
    <row r="801" spans="8:15">
      <c r="H801" s="1543" t="s">
        <v>3275</v>
      </c>
      <c r="I801" s="1544" t="s">
        <v>2021</v>
      </c>
      <c r="J801" s="1544" t="s">
        <v>3276</v>
      </c>
      <c r="K801" s="1544"/>
      <c r="L801" s="1544"/>
      <c r="M801" s="1544"/>
      <c r="N801" s="1544"/>
      <c r="O801" s="1544"/>
    </row>
    <row r="802" spans="8:15">
      <c r="H802" s="1543" t="s">
        <v>3277</v>
      </c>
      <c r="I802" s="1544" t="s">
        <v>2021</v>
      </c>
      <c r="J802" s="1544" t="s">
        <v>3278</v>
      </c>
      <c r="K802" s="1544"/>
      <c r="L802" s="1544"/>
      <c r="M802" s="1544"/>
      <c r="N802" s="1544"/>
      <c r="O802" s="1544"/>
    </row>
    <row r="803" spans="8:15">
      <c r="H803" s="1543" t="s">
        <v>3279</v>
      </c>
      <c r="I803" s="1544" t="s">
        <v>2021</v>
      </c>
      <c r="J803" s="1544" t="s">
        <v>3280</v>
      </c>
      <c r="K803" s="1544"/>
      <c r="L803" s="1544"/>
      <c r="M803" s="1544"/>
      <c r="N803" s="1544"/>
      <c r="O803" s="1544"/>
    </row>
    <row r="804" spans="8:15">
      <c r="H804" s="1543" t="s">
        <v>3281</v>
      </c>
      <c r="I804" s="1544" t="s">
        <v>2021</v>
      </c>
      <c r="J804" s="1544" t="s">
        <v>3282</v>
      </c>
      <c r="K804" s="1544"/>
      <c r="L804" s="1544"/>
      <c r="M804" s="1544"/>
      <c r="N804" s="1544"/>
      <c r="O804" s="1544"/>
    </row>
    <row r="805" spans="8:15">
      <c r="H805" s="1543" t="s">
        <v>3283</v>
      </c>
      <c r="I805" s="1544" t="s">
        <v>2021</v>
      </c>
      <c r="J805" s="1544" t="s">
        <v>3284</v>
      </c>
      <c r="K805" s="1544"/>
      <c r="L805" s="1544"/>
      <c r="M805" s="1544"/>
      <c r="N805" s="1544"/>
      <c r="O805" s="1544"/>
    </row>
    <row r="806" spans="8:15">
      <c r="H806" s="1543" t="s">
        <v>3285</v>
      </c>
      <c r="I806" s="1544" t="s">
        <v>2021</v>
      </c>
      <c r="J806" s="1544" t="s">
        <v>3286</v>
      </c>
      <c r="K806" s="1544"/>
      <c r="L806" s="1544"/>
      <c r="M806" s="1544"/>
      <c r="N806" s="1544"/>
      <c r="O806" s="1544"/>
    </row>
    <row r="807" spans="8:15">
      <c r="H807" s="1543" t="s">
        <v>3287</v>
      </c>
      <c r="I807" s="1544" t="s">
        <v>2021</v>
      </c>
      <c r="J807" s="1544" t="s">
        <v>3288</v>
      </c>
      <c r="K807" s="1544"/>
      <c r="L807" s="1544"/>
      <c r="M807" s="1544"/>
      <c r="N807" s="1544"/>
      <c r="O807" s="1544"/>
    </row>
    <row r="808" spans="8:15">
      <c r="H808" s="1543" t="s">
        <v>3289</v>
      </c>
      <c r="I808" s="1544" t="s">
        <v>2021</v>
      </c>
      <c r="J808" s="1544" t="s">
        <v>3290</v>
      </c>
      <c r="K808" s="1544"/>
      <c r="L808" s="1544"/>
      <c r="M808" s="1544"/>
      <c r="N808" s="1544"/>
      <c r="O808" s="1544"/>
    </row>
    <row r="809" spans="8:15">
      <c r="H809" s="1543" t="s">
        <v>3291</v>
      </c>
      <c r="I809" s="1544" t="s">
        <v>2021</v>
      </c>
      <c r="J809" s="1544" t="s">
        <v>3292</v>
      </c>
      <c r="K809" s="1544"/>
      <c r="L809" s="1544"/>
      <c r="M809" s="1544"/>
      <c r="N809" s="1544"/>
      <c r="O809" s="1544"/>
    </row>
    <row r="810" spans="8:15">
      <c r="H810" s="1543" t="s">
        <v>3293</v>
      </c>
      <c r="I810" s="1544" t="s">
        <v>2021</v>
      </c>
      <c r="J810" s="1544" t="s">
        <v>3294</v>
      </c>
      <c r="K810" s="1544"/>
      <c r="L810" s="1544"/>
      <c r="M810" s="1544"/>
      <c r="N810" s="1544"/>
      <c r="O810" s="1544"/>
    </row>
    <row r="811" spans="8:15">
      <c r="H811" s="1543" t="s">
        <v>3295</v>
      </c>
      <c r="I811" s="1544" t="s">
        <v>2021</v>
      </c>
      <c r="J811" s="1544" t="s">
        <v>3296</v>
      </c>
      <c r="K811" s="1544"/>
      <c r="L811" s="1544"/>
      <c r="M811" s="1544"/>
      <c r="N811" s="1544"/>
      <c r="O811" s="1544"/>
    </row>
    <row r="812" spans="8:15">
      <c r="H812" s="1543" t="s">
        <v>3297</v>
      </c>
      <c r="I812" s="1544" t="s">
        <v>2021</v>
      </c>
      <c r="J812" s="1544" t="s">
        <v>3298</v>
      </c>
      <c r="K812" s="1544"/>
      <c r="L812" s="1544"/>
      <c r="M812" s="1544"/>
      <c r="N812" s="1544"/>
      <c r="O812" s="1544"/>
    </row>
    <row r="813" spans="8:15">
      <c r="H813" s="1543" t="s">
        <v>3299</v>
      </c>
      <c r="I813" s="1544" t="s">
        <v>2021</v>
      </c>
      <c r="J813" s="1544" t="s">
        <v>3300</v>
      </c>
      <c r="K813" s="1544"/>
      <c r="L813" s="1544"/>
      <c r="M813" s="1544"/>
      <c r="N813" s="1544"/>
      <c r="O813" s="1544"/>
    </row>
    <row r="814" spans="8:15">
      <c r="H814" s="1543" t="s">
        <v>3301</v>
      </c>
      <c r="I814" s="1544" t="s">
        <v>2021</v>
      </c>
      <c r="J814" s="1544" t="s">
        <v>3302</v>
      </c>
      <c r="K814" s="1544"/>
      <c r="L814" s="1544"/>
      <c r="M814" s="1544"/>
      <c r="N814" s="1544"/>
      <c r="O814" s="1544"/>
    </row>
    <row r="815" spans="8:15">
      <c r="H815" s="1543" t="s">
        <v>3303</v>
      </c>
      <c r="I815" s="1544" t="s">
        <v>2021</v>
      </c>
      <c r="J815" s="1544" t="s">
        <v>3304</v>
      </c>
      <c r="K815" s="1544"/>
      <c r="L815" s="1544"/>
      <c r="M815" s="1544"/>
      <c r="N815" s="1544"/>
      <c r="O815" s="1544"/>
    </row>
    <row r="816" spans="8:15">
      <c r="H816" s="1543" t="s">
        <v>3305</v>
      </c>
      <c r="I816" s="1544" t="s">
        <v>2021</v>
      </c>
      <c r="J816" s="1544" t="s">
        <v>3306</v>
      </c>
      <c r="K816" s="1544"/>
      <c r="L816" s="1544"/>
      <c r="M816" s="1544"/>
      <c r="N816" s="1544"/>
      <c r="O816" s="1544"/>
    </row>
    <row r="817" spans="8:15">
      <c r="H817" s="1543" t="s">
        <v>3307</v>
      </c>
      <c r="I817" s="1544" t="s">
        <v>2021</v>
      </c>
      <c r="J817" s="1544" t="s">
        <v>3308</v>
      </c>
      <c r="K817" s="1544"/>
      <c r="L817" s="1544"/>
      <c r="M817" s="1544"/>
      <c r="N817" s="1544"/>
      <c r="O817" s="1544"/>
    </row>
    <row r="818" spans="8:15">
      <c r="H818" s="1543" t="s">
        <v>3309</v>
      </c>
      <c r="I818" s="1544" t="s">
        <v>2021</v>
      </c>
      <c r="J818" s="1544" t="s">
        <v>3310</v>
      </c>
      <c r="K818" s="1544"/>
      <c r="L818" s="1544"/>
      <c r="M818" s="1544"/>
      <c r="N818" s="1544"/>
      <c r="O818" s="1544"/>
    </row>
    <row r="819" spans="8:15">
      <c r="H819" s="1543" t="s">
        <v>3311</v>
      </c>
      <c r="I819" s="1544" t="s">
        <v>2021</v>
      </c>
      <c r="J819" s="1544" t="s">
        <v>3312</v>
      </c>
      <c r="K819" s="1544"/>
      <c r="L819" s="1544"/>
      <c r="M819" s="1544"/>
      <c r="N819" s="1544"/>
      <c r="O819" s="1544"/>
    </row>
    <row r="820" spans="8:15">
      <c r="H820" s="1543" t="s">
        <v>3313</v>
      </c>
      <c r="I820" s="1544" t="s">
        <v>2021</v>
      </c>
      <c r="J820" s="1544" t="s">
        <v>3314</v>
      </c>
      <c r="K820" s="1544"/>
      <c r="L820" s="1544"/>
      <c r="M820" s="1544"/>
      <c r="N820" s="1544"/>
      <c r="O820" s="1544"/>
    </row>
    <row r="821" spans="8:15">
      <c r="H821" s="1543" t="s">
        <v>3315</v>
      </c>
      <c r="I821" s="1544" t="s">
        <v>2021</v>
      </c>
      <c r="J821" s="1544" t="s">
        <v>3316</v>
      </c>
      <c r="K821" s="1544"/>
      <c r="L821" s="1544"/>
      <c r="M821" s="1544"/>
      <c r="N821" s="1544"/>
      <c r="O821" s="1544"/>
    </row>
    <row r="822" spans="8:15">
      <c r="H822" s="1543" t="s">
        <v>3317</v>
      </c>
      <c r="I822" s="1544" t="s">
        <v>2021</v>
      </c>
      <c r="J822" s="1544" t="s">
        <v>3318</v>
      </c>
      <c r="K822" s="1544"/>
      <c r="L822" s="1544"/>
      <c r="M822" s="1544"/>
      <c r="N822" s="1544"/>
      <c r="O822" s="1544"/>
    </row>
    <row r="823" spans="8:15">
      <c r="H823" s="1543" t="s">
        <v>3319</v>
      </c>
      <c r="I823" s="1544" t="s">
        <v>2021</v>
      </c>
      <c r="J823" s="1544" t="s">
        <v>3320</v>
      </c>
      <c r="K823" s="1544"/>
      <c r="L823" s="1544"/>
      <c r="M823" s="1544"/>
      <c r="N823" s="1544"/>
      <c r="O823" s="1544"/>
    </row>
    <row r="824" spans="8:15">
      <c r="H824" s="1543" t="s">
        <v>3321</v>
      </c>
      <c r="I824" s="1544" t="s">
        <v>491</v>
      </c>
      <c r="J824" s="1544"/>
      <c r="K824" s="1544">
        <f>ROW()</f>
        <v>824</v>
      </c>
      <c r="L824" s="1544">
        <f>K824+COUNTIF($I$122:$I$1909,I824)-1</f>
        <v>857</v>
      </c>
      <c r="M824" s="1544"/>
      <c r="N824" s="1544"/>
      <c r="O824" s="1544"/>
    </row>
    <row r="825" spans="8:15">
      <c r="H825" s="1543" t="s">
        <v>1237</v>
      </c>
      <c r="I825" s="1544" t="s">
        <v>491</v>
      </c>
      <c r="J825" s="1544" t="s">
        <v>1236</v>
      </c>
      <c r="K825" s="1544"/>
      <c r="L825" s="1544"/>
      <c r="M825" s="1544"/>
      <c r="N825" s="1544"/>
      <c r="O825" s="1544"/>
    </row>
    <row r="826" spans="8:15">
      <c r="H826" s="1543" t="s">
        <v>1239</v>
      </c>
      <c r="I826" s="1544" t="s">
        <v>491</v>
      </c>
      <c r="J826" s="1544" t="s">
        <v>1238</v>
      </c>
      <c r="K826" s="1544"/>
      <c r="L826" s="1544"/>
      <c r="M826" s="1544"/>
      <c r="N826" s="1544"/>
      <c r="O826" s="1544"/>
    </row>
    <row r="827" spans="8:15">
      <c r="H827" s="1543" t="s">
        <v>1241</v>
      </c>
      <c r="I827" s="1544" t="s">
        <v>491</v>
      </c>
      <c r="J827" s="1544" t="s">
        <v>1240</v>
      </c>
      <c r="K827" s="1544"/>
      <c r="L827" s="1544"/>
      <c r="M827" s="1544"/>
      <c r="N827" s="1544"/>
      <c r="O827" s="1544"/>
    </row>
    <row r="828" spans="8:15">
      <c r="H828" s="1543" t="s">
        <v>1299</v>
      </c>
      <c r="I828" s="1544" t="s">
        <v>491</v>
      </c>
      <c r="J828" s="1544" t="s">
        <v>1298</v>
      </c>
      <c r="K828" s="1544"/>
      <c r="L828" s="1544"/>
      <c r="M828" s="1544"/>
      <c r="N828" s="1544"/>
      <c r="O828" s="1544"/>
    </row>
    <row r="829" spans="8:15">
      <c r="H829" s="1543" t="s">
        <v>1381</v>
      </c>
      <c r="I829" s="1544" t="s">
        <v>491</v>
      </c>
      <c r="J829" s="1544" t="s">
        <v>1380</v>
      </c>
      <c r="K829" s="1544"/>
      <c r="L829" s="1544"/>
      <c r="M829" s="1544"/>
      <c r="N829" s="1544"/>
      <c r="O829" s="1544"/>
    </row>
    <row r="830" spans="8:15">
      <c r="H830" s="1543" t="s">
        <v>3322</v>
      </c>
      <c r="I830" s="1544" t="s">
        <v>491</v>
      </c>
      <c r="J830" s="1544" t="s">
        <v>3323</v>
      </c>
      <c r="K830" s="1544"/>
      <c r="L830" s="1544"/>
      <c r="M830" s="1544"/>
      <c r="N830" s="1544"/>
      <c r="O830" s="1544"/>
    </row>
    <row r="831" spans="8:15">
      <c r="H831" s="1543" t="s">
        <v>3324</v>
      </c>
      <c r="I831" s="1544" t="s">
        <v>491</v>
      </c>
      <c r="J831" s="1544" t="s">
        <v>3325</v>
      </c>
      <c r="K831" s="1544"/>
      <c r="L831" s="1544"/>
      <c r="M831" s="1544"/>
      <c r="N831" s="1544"/>
      <c r="O831" s="1544"/>
    </row>
    <row r="832" spans="8:15">
      <c r="H832" s="1543" t="s">
        <v>1383</v>
      </c>
      <c r="I832" s="1544" t="s">
        <v>491</v>
      </c>
      <c r="J832" s="1544" t="s">
        <v>1382</v>
      </c>
      <c r="K832" s="1544"/>
      <c r="L832" s="1544"/>
      <c r="M832" s="1544"/>
      <c r="N832" s="1544"/>
      <c r="O832" s="1544"/>
    </row>
    <row r="833" spans="8:15">
      <c r="H833" s="1543" t="s">
        <v>1385</v>
      </c>
      <c r="I833" s="1544" t="s">
        <v>491</v>
      </c>
      <c r="J833" s="1544" t="s">
        <v>1384</v>
      </c>
      <c r="K833" s="1544"/>
      <c r="L833" s="1544"/>
      <c r="M833" s="1544"/>
      <c r="N833" s="1544"/>
      <c r="O833" s="1544"/>
    </row>
    <row r="834" spans="8:15">
      <c r="H834" s="1543" t="s">
        <v>3326</v>
      </c>
      <c r="I834" s="1544" t="s">
        <v>491</v>
      </c>
      <c r="J834" s="1544" t="s">
        <v>3327</v>
      </c>
      <c r="K834" s="1544"/>
      <c r="L834" s="1544"/>
      <c r="M834" s="1544"/>
      <c r="N834" s="1544"/>
      <c r="O834" s="1544"/>
    </row>
    <row r="835" spans="8:15">
      <c r="H835" s="1543" t="s">
        <v>3328</v>
      </c>
      <c r="I835" s="1544" t="s">
        <v>491</v>
      </c>
      <c r="J835" s="1544" t="s">
        <v>3329</v>
      </c>
      <c r="K835" s="1544"/>
      <c r="L835" s="1544"/>
      <c r="M835" s="1544"/>
      <c r="N835" s="1544"/>
      <c r="O835" s="1544"/>
    </row>
    <row r="836" spans="8:15">
      <c r="H836" s="1543" t="s">
        <v>3330</v>
      </c>
      <c r="I836" s="1544" t="s">
        <v>491</v>
      </c>
      <c r="J836" s="1544" t="s">
        <v>3331</v>
      </c>
      <c r="K836" s="1544"/>
      <c r="L836" s="1544"/>
      <c r="M836" s="1544"/>
      <c r="N836" s="1544"/>
      <c r="O836" s="1544"/>
    </row>
    <row r="837" spans="8:15">
      <c r="H837" s="1543" t="s">
        <v>1387</v>
      </c>
      <c r="I837" s="1544" t="s">
        <v>491</v>
      </c>
      <c r="J837" s="1544" t="s">
        <v>1386</v>
      </c>
      <c r="K837" s="1544"/>
      <c r="L837" s="1544"/>
      <c r="M837" s="1544"/>
      <c r="N837" s="1544"/>
      <c r="O837" s="1544"/>
    </row>
    <row r="838" spans="8:15">
      <c r="H838" s="1543" t="s">
        <v>1389</v>
      </c>
      <c r="I838" s="1544" t="s">
        <v>491</v>
      </c>
      <c r="J838" s="1544" t="s">
        <v>1388</v>
      </c>
      <c r="K838" s="1544"/>
      <c r="L838" s="1544"/>
      <c r="M838" s="1544"/>
      <c r="N838" s="1544"/>
      <c r="O838" s="1544"/>
    </row>
    <row r="839" spans="8:15">
      <c r="H839" s="1543" t="s">
        <v>3332</v>
      </c>
      <c r="I839" s="1544" t="s">
        <v>491</v>
      </c>
      <c r="J839" s="1544" t="s">
        <v>3333</v>
      </c>
      <c r="K839" s="1544"/>
      <c r="L839" s="1544"/>
      <c r="M839" s="1544"/>
      <c r="N839" s="1544"/>
      <c r="O839" s="1544"/>
    </row>
    <row r="840" spans="8:15">
      <c r="H840" s="1543" t="s">
        <v>3334</v>
      </c>
      <c r="I840" s="1544" t="s">
        <v>491</v>
      </c>
      <c r="J840" s="1544" t="s">
        <v>3335</v>
      </c>
      <c r="K840" s="1544"/>
      <c r="L840" s="1544"/>
      <c r="M840" s="1544"/>
      <c r="N840" s="1544"/>
      <c r="O840" s="1544"/>
    </row>
    <row r="841" spans="8:15">
      <c r="H841" s="1543" t="s">
        <v>3336</v>
      </c>
      <c r="I841" s="1544" t="s">
        <v>491</v>
      </c>
      <c r="J841" s="1544" t="s">
        <v>3337</v>
      </c>
      <c r="K841" s="1544"/>
      <c r="L841" s="1544"/>
      <c r="M841" s="1544"/>
      <c r="N841" s="1544"/>
      <c r="O841" s="1544"/>
    </row>
    <row r="842" spans="8:15">
      <c r="H842" s="1543" t="s">
        <v>3338</v>
      </c>
      <c r="I842" s="1544" t="s">
        <v>491</v>
      </c>
      <c r="J842" s="1544" t="s">
        <v>3339</v>
      </c>
      <c r="K842" s="1544"/>
      <c r="L842" s="1544"/>
      <c r="M842" s="1544"/>
      <c r="N842" s="1544"/>
      <c r="O842" s="1544"/>
    </row>
    <row r="843" spans="8:15">
      <c r="H843" s="1543" t="s">
        <v>3340</v>
      </c>
      <c r="I843" s="1544" t="s">
        <v>491</v>
      </c>
      <c r="J843" s="1544" t="s">
        <v>3341</v>
      </c>
      <c r="K843" s="1544"/>
      <c r="L843" s="1544"/>
      <c r="M843" s="1544"/>
      <c r="N843" s="1544"/>
      <c r="O843" s="1544"/>
    </row>
    <row r="844" spans="8:15">
      <c r="H844" s="1543" t="s">
        <v>3342</v>
      </c>
      <c r="I844" s="1544" t="s">
        <v>491</v>
      </c>
      <c r="J844" s="1544" t="s">
        <v>3343</v>
      </c>
      <c r="K844" s="1544"/>
      <c r="L844" s="1544"/>
      <c r="M844" s="1544"/>
      <c r="N844" s="1544"/>
      <c r="O844" s="1544"/>
    </row>
    <row r="845" spans="8:15">
      <c r="H845" s="1543" t="s">
        <v>3344</v>
      </c>
      <c r="I845" s="1544" t="s">
        <v>491</v>
      </c>
      <c r="J845" s="1544" t="s">
        <v>3345</v>
      </c>
      <c r="K845" s="1544"/>
      <c r="L845" s="1544"/>
      <c r="M845" s="1544"/>
      <c r="N845" s="1544"/>
      <c r="O845" s="1544"/>
    </row>
    <row r="846" spans="8:15">
      <c r="H846" s="1543" t="s">
        <v>3346</v>
      </c>
      <c r="I846" s="1544" t="s">
        <v>491</v>
      </c>
      <c r="J846" s="1544" t="s">
        <v>3347</v>
      </c>
      <c r="K846" s="1544"/>
      <c r="L846" s="1544"/>
      <c r="M846" s="1544"/>
      <c r="N846" s="1544"/>
      <c r="O846" s="1544"/>
    </row>
    <row r="847" spans="8:15">
      <c r="H847" s="1543" t="s">
        <v>3348</v>
      </c>
      <c r="I847" s="1544" t="s">
        <v>491</v>
      </c>
      <c r="J847" s="1544" t="s">
        <v>3349</v>
      </c>
      <c r="K847" s="1544"/>
      <c r="L847" s="1544"/>
      <c r="M847" s="1544"/>
      <c r="N847" s="1544"/>
      <c r="O847" s="1544"/>
    </row>
    <row r="848" spans="8:15">
      <c r="H848" s="1543" t="s">
        <v>3350</v>
      </c>
      <c r="I848" s="1544" t="s">
        <v>491</v>
      </c>
      <c r="J848" s="1544" t="s">
        <v>3351</v>
      </c>
      <c r="K848" s="1544"/>
      <c r="L848" s="1544"/>
      <c r="M848" s="1544"/>
      <c r="N848" s="1544"/>
      <c r="O848" s="1544"/>
    </row>
    <row r="849" spans="8:15">
      <c r="H849" s="1543" t="s">
        <v>3352</v>
      </c>
      <c r="I849" s="1544" t="s">
        <v>491</v>
      </c>
      <c r="J849" s="1544" t="s">
        <v>3353</v>
      </c>
      <c r="K849" s="1544"/>
      <c r="L849" s="1544"/>
      <c r="M849" s="1544"/>
      <c r="N849" s="1544"/>
      <c r="O849" s="1544"/>
    </row>
    <row r="850" spans="8:15">
      <c r="H850" s="1543" t="s">
        <v>3354</v>
      </c>
      <c r="I850" s="1544" t="s">
        <v>491</v>
      </c>
      <c r="J850" s="1544" t="s">
        <v>3355</v>
      </c>
      <c r="K850" s="1544"/>
      <c r="L850" s="1544"/>
      <c r="M850" s="1544"/>
      <c r="N850" s="1544"/>
      <c r="O850" s="1544"/>
    </row>
    <row r="851" spans="8:15">
      <c r="H851" s="1543" t="s">
        <v>3356</v>
      </c>
      <c r="I851" s="1544" t="s">
        <v>491</v>
      </c>
      <c r="J851" s="1544" t="s">
        <v>3357</v>
      </c>
      <c r="K851" s="1544"/>
      <c r="L851" s="1544"/>
      <c r="M851" s="1544"/>
      <c r="N851" s="1544"/>
      <c r="O851" s="1544"/>
    </row>
    <row r="852" spans="8:15">
      <c r="H852" s="1543" t="s">
        <v>3358</v>
      </c>
      <c r="I852" s="1544" t="s">
        <v>491</v>
      </c>
      <c r="J852" s="1544" t="s">
        <v>3359</v>
      </c>
      <c r="K852" s="1544"/>
      <c r="L852" s="1544"/>
      <c r="M852" s="1544"/>
      <c r="N852" s="1544"/>
      <c r="O852" s="1544"/>
    </row>
    <row r="853" spans="8:15">
      <c r="H853" s="1543" t="s">
        <v>3360</v>
      </c>
      <c r="I853" s="1544" t="s">
        <v>491</v>
      </c>
      <c r="J853" s="1544" t="s">
        <v>3361</v>
      </c>
      <c r="K853" s="1544"/>
      <c r="L853" s="1544"/>
      <c r="M853" s="1544"/>
      <c r="N853" s="1544"/>
      <c r="O853" s="1544"/>
    </row>
    <row r="854" spans="8:15">
      <c r="H854" s="1543" t="s">
        <v>3362</v>
      </c>
      <c r="I854" s="1544" t="s">
        <v>491</v>
      </c>
      <c r="J854" s="1544" t="s">
        <v>3363</v>
      </c>
      <c r="K854" s="1544"/>
      <c r="L854" s="1544"/>
      <c r="M854" s="1544"/>
      <c r="N854" s="1544"/>
      <c r="O854" s="1544"/>
    </row>
    <row r="855" spans="8:15">
      <c r="H855" s="1543" t="s">
        <v>3364</v>
      </c>
      <c r="I855" s="1544" t="s">
        <v>491</v>
      </c>
      <c r="J855" s="1544" t="s">
        <v>3365</v>
      </c>
      <c r="K855" s="1544"/>
      <c r="L855" s="1544"/>
      <c r="M855" s="1544"/>
      <c r="N855" s="1544"/>
      <c r="O855" s="1544"/>
    </row>
    <row r="856" spans="8:15">
      <c r="H856" s="1543" t="s">
        <v>3366</v>
      </c>
      <c r="I856" s="1544" t="s">
        <v>491</v>
      </c>
      <c r="J856" s="1544" t="s">
        <v>3367</v>
      </c>
      <c r="K856" s="1544"/>
      <c r="L856" s="1544"/>
      <c r="M856" s="1544"/>
      <c r="N856" s="1544"/>
      <c r="O856" s="1544"/>
    </row>
    <row r="857" spans="8:15">
      <c r="H857" s="1543" t="s">
        <v>3368</v>
      </c>
      <c r="I857" s="1544" t="s">
        <v>491</v>
      </c>
      <c r="J857" s="1544" t="s">
        <v>3369</v>
      </c>
      <c r="K857" s="1544"/>
      <c r="L857" s="1544"/>
      <c r="M857" s="1544"/>
      <c r="N857" s="1544"/>
      <c r="O857" s="1544"/>
    </row>
    <row r="858" spans="8:15">
      <c r="H858" s="1543" t="s">
        <v>3370</v>
      </c>
      <c r="I858" s="1544" t="s">
        <v>516</v>
      </c>
      <c r="J858" s="1544"/>
      <c r="K858" s="1544">
        <f>ROW()</f>
        <v>858</v>
      </c>
      <c r="L858" s="1544">
        <f>K858+COUNTIF($I$122:$I$1909,I858)-1</f>
        <v>888</v>
      </c>
      <c r="M858" s="1544"/>
      <c r="N858" s="1544"/>
      <c r="O858" s="1544"/>
    </row>
    <row r="859" spans="8:15">
      <c r="H859" s="1543" t="s">
        <v>1243</v>
      </c>
      <c r="I859" s="1544" t="s">
        <v>516</v>
      </c>
      <c r="J859" s="1544" t="s">
        <v>1242</v>
      </c>
      <c r="K859" s="1544"/>
      <c r="L859" s="1544"/>
      <c r="M859" s="1544"/>
      <c r="N859" s="1544"/>
      <c r="O859" s="1544"/>
    </row>
    <row r="860" spans="8:15">
      <c r="H860" s="1543" t="s">
        <v>1391</v>
      </c>
      <c r="I860" s="1544" t="s">
        <v>516</v>
      </c>
      <c r="J860" s="1544" t="s">
        <v>1390</v>
      </c>
      <c r="K860" s="1544"/>
      <c r="L860" s="1544"/>
      <c r="M860" s="1544"/>
      <c r="N860" s="1544"/>
      <c r="O860" s="1544"/>
    </row>
    <row r="861" spans="8:15">
      <c r="H861" s="1543" t="s">
        <v>3371</v>
      </c>
      <c r="I861" s="1544" t="s">
        <v>516</v>
      </c>
      <c r="J861" s="1544" t="s">
        <v>3372</v>
      </c>
      <c r="K861" s="1544"/>
      <c r="L861" s="1544"/>
      <c r="M861" s="1544"/>
      <c r="N861" s="1544"/>
      <c r="O861" s="1544"/>
    </row>
    <row r="862" spans="8:15">
      <c r="H862" s="1543" t="s">
        <v>3373</v>
      </c>
      <c r="I862" s="1544" t="s">
        <v>516</v>
      </c>
      <c r="J862" s="1544" t="s">
        <v>3374</v>
      </c>
      <c r="K862" s="1544"/>
      <c r="L862" s="1544"/>
      <c r="M862" s="1544"/>
      <c r="N862" s="1544"/>
      <c r="O862" s="1544"/>
    </row>
    <row r="863" spans="8:15">
      <c r="H863" s="1543" t="s">
        <v>3375</v>
      </c>
      <c r="I863" s="1544" t="s">
        <v>516</v>
      </c>
      <c r="J863" s="1544" t="s">
        <v>3376</v>
      </c>
      <c r="K863" s="1544"/>
      <c r="L863" s="1544"/>
      <c r="M863" s="1544"/>
      <c r="N863" s="1544"/>
      <c r="O863" s="1544"/>
    </row>
    <row r="864" spans="8:15">
      <c r="H864" s="1543" t="s">
        <v>3377</v>
      </c>
      <c r="I864" s="1544" t="s">
        <v>516</v>
      </c>
      <c r="J864" s="1544" t="s">
        <v>3378</v>
      </c>
      <c r="K864" s="1544"/>
      <c r="L864" s="1544"/>
      <c r="M864" s="1544"/>
      <c r="N864" s="1544"/>
      <c r="O864" s="1544"/>
    </row>
    <row r="865" spans="8:15">
      <c r="H865" s="1543" t="s">
        <v>3379</v>
      </c>
      <c r="I865" s="1544" t="s">
        <v>516</v>
      </c>
      <c r="J865" s="1544" t="s">
        <v>3380</v>
      </c>
      <c r="K865" s="1544"/>
      <c r="L865" s="1544"/>
      <c r="M865" s="1544"/>
      <c r="N865" s="1544"/>
      <c r="O865" s="1544"/>
    </row>
    <row r="866" spans="8:15">
      <c r="H866" s="1543" t="s">
        <v>3381</v>
      </c>
      <c r="I866" s="1544" t="s">
        <v>516</v>
      </c>
      <c r="J866" s="1544" t="s">
        <v>3382</v>
      </c>
      <c r="K866" s="1544"/>
      <c r="L866" s="1544"/>
      <c r="M866" s="1544"/>
      <c r="N866" s="1544"/>
      <c r="O866" s="1544"/>
    </row>
    <row r="867" spans="8:15">
      <c r="H867" s="1543" t="s">
        <v>3383</v>
      </c>
      <c r="I867" s="1544" t="s">
        <v>516</v>
      </c>
      <c r="J867" s="1544" t="s">
        <v>3384</v>
      </c>
      <c r="K867" s="1544"/>
      <c r="L867" s="1544"/>
      <c r="M867" s="1544"/>
      <c r="N867" s="1544"/>
      <c r="O867" s="1544"/>
    </row>
    <row r="868" spans="8:15">
      <c r="H868" s="1543" t="s">
        <v>3385</v>
      </c>
      <c r="I868" s="1544" t="s">
        <v>516</v>
      </c>
      <c r="J868" s="1544" t="s">
        <v>3386</v>
      </c>
      <c r="K868" s="1544"/>
      <c r="L868" s="1544"/>
      <c r="M868" s="1544"/>
      <c r="N868" s="1544"/>
      <c r="O868" s="1544"/>
    </row>
    <row r="869" spans="8:15">
      <c r="H869" s="1543" t="s">
        <v>3387</v>
      </c>
      <c r="I869" s="1544" t="s">
        <v>516</v>
      </c>
      <c r="J869" s="1544" t="s">
        <v>3388</v>
      </c>
      <c r="K869" s="1544"/>
      <c r="L869" s="1544"/>
      <c r="M869" s="1544"/>
      <c r="N869" s="1544"/>
      <c r="O869" s="1544"/>
    </row>
    <row r="870" spans="8:15">
      <c r="H870" s="1543" t="s">
        <v>3389</v>
      </c>
      <c r="I870" s="1544" t="s">
        <v>516</v>
      </c>
      <c r="J870" s="1544" t="s">
        <v>3390</v>
      </c>
      <c r="K870" s="1544"/>
      <c r="L870" s="1544"/>
      <c r="M870" s="1544"/>
      <c r="N870" s="1544"/>
      <c r="O870" s="1544"/>
    </row>
    <row r="871" spans="8:15">
      <c r="H871" s="1543" t="s">
        <v>3391</v>
      </c>
      <c r="I871" s="1544" t="s">
        <v>516</v>
      </c>
      <c r="J871" s="1544" t="s">
        <v>3392</v>
      </c>
      <c r="K871" s="1544"/>
      <c r="L871" s="1544"/>
      <c r="M871" s="1544"/>
      <c r="N871" s="1544"/>
      <c r="O871" s="1544"/>
    </row>
    <row r="872" spans="8:15">
      <c r="H872" s="1543" t="s">
        <v>3393</v>
      </c>
      <c r="I872" s="1544" t="s">
        <v>516</v>
      </c>
      <c r="J872" s="1544" t="s">
        <v>3394</v>
      </c>
      <c r="K872" s="1544"/>
      <c r="L872" s="1544"/>
      <c r="M872" s="1544"/>
      <c r="N872" s="1544"/>
      <c r="O872" s="1544"/>
    </row>
    <row r="873" spans="8:15">
      <c r="H873" s="1543" t="s">
        <v>1393</v>
      </c>
      <c r="I873" s="1544" t="s">
        <v>516</v>
      </c>
      <c r="J873" s="1544" t="s">
        <v>1392</v>
      </c>
      <c r="K873" s="1544"/>
      <c r="L873" s="1544"/>
      <c r="M873" s="1544"/>
      <c r="N873" s="1544"/>
      <c r="O873" s="1544"/>
    </row>
    <row r="874" spans="8:15">
      <c r="H874" s="1543" t="s">
        <v>3395</v>
      </c>
      <c r="I874" s="1544" t="s">
        <v>516</v>
      </c>
      <c r="J874" s="1544" t="s">
        <v>3396</v>
      </c>
      <c r="K874" s="1544"/>
      <c r="L874" s="1544"/>
      <c r="M874" s="1544"/>
      <c r="N874" s="1544"/>
      <c r="O874" s="1544"/>
    </row>
    <row r="875" spans="8:15">
      <c r="H875" s="1543" t="s">
        <v>3397</v>
      </c>
      <c r="I875" s="1544" t="s">
        <v>516</v>
      </c>
      <c r="J875" s="1544" t="s">
        <v>3398</v>
      </c>
      <c r="K875" s="1544"/>
      <c r="L875" s="1544"/>
      <c r="M875" s="1544"/>
      <c r="N875" s="1544"/>
      <c r="O875" s="1544"/>
    </row>
    <row r="876" spans="8:15">
      <c r="H876" s="1543" t="s">
        <v>3399</v>
      </c>
      <c r="I876" s="1544" t="s">
        <v>516</v>
      </c>
      <c r="J876" s="1544" t="s">
        <v>3400</v>
      </c>
      <c r="K876" s="1544"/>
      <c r="L876" s="1544"/>
      <c r="M876" s="1544"/>
      <c r="N876" s="1544"/>
      <c r="O876" s="1544"/>
    </row>
    <row r="877" spans="8:15">
      <c r="H877" s="1543" t="s">
        <v>3401</v>
      </c>
      <c r="I877" s="1544" t="s">
        <v>516</v>
      </c>
      <c r="J877" s="1544" t="s">
        <v>3402</v>
      </c>
      <c r="K877" s="1544"/>
      <c r="L877" s="1544"/>
      <c r="M877" s="1544"/>
      <c r="N877" s="1544"/>
      <c r="O877" s="1544"/>
    </row>
    <row r="878" spans="8:15">
      <c r="H878" s="1543" t="s">
        <v>3403</v>
      </c>
      <c r="I878" s="1544" t="s">
        <v>516</v>
      </c>
      <c r="J878" s="1544" t="s">
        <v>3404</v>
      </c>
      <c r="K878" s="1544"/>
      <c r="L878" s="1544"/>
      <c r="M878" s="1544"/>
      <c r="N878" s="1544"/>
      <c r="O878" s="1544"/>
    </row>
    <row r="879" spans="8:15">
      <c r="H879" s="1543" t="s">
        <v>3405</v>
      </c>
      <c r="I879" s="1544" t="s">
        <v>516</v>
      </c>
      <c r="J879" s="1544" t="s">
        <v>3406</v>
      </c>
      <c r="K879" s="1544"/>
      <c r="L879" s="1544"/>
      <c r="M879" s="1544"/>
      <c r="N879" s="1544"/>
      <c r="O879" s="1544"/>
    </row>
    <row r="880" spans="8:15">
      <c r="H880" s="1543" t="s">
        <v>3407</v>
      </c>
      <c r="I880" s="1544" t="s">
        <v>516</v>
      </c>
      <c r="J880" s="1544" t="s">
        <v>3408</v>
      </c>
      <c r="K880" s="1544"/>
      <c r="L880" s="1544"/>
      <c r="M880" s="1544"/>
      <c r="N880" s="1544"/>
      <c r="O880" s="1544"/>
    </row>
    <row r="881" spans="8:15">
      <c r="H881" s="1543" t="s">
        <v>3409</v>
      </c>
      <c r="I881" s="1544" t="s">
        <v>516</v>
      </c>
      <c r="J881" s="1544" t="s">
        <v>3410</v>
      </c>
      <c r="K881" s="1544"/>
      <c r="L881" s="1544"/>
      <c r="M881" s="1544"/>
      <c r="N881" s="1544"/>
      <c r="O881" s="1544"/>
    </row>
    <row r="882" spans="8:15">
      <c r="H882" s="1543" t="s">
        <v>3411</v>
      </c>
      <c r="I882" s="1544" t="s">
        <v>516</v>
      </c>
      <c r="J882" s="1544" t="s">
        <v>3412</v>
      </c>
      <c r="K882" s="1544"/>
      <c r="L882" s="1544"/>
      <c r="M882" s="1544"/>
      <c r="N882" s="1544"/>
      <c r="O882" s="1544"/>
    </row>
    <row r="883" spans="8:15">
      <c r="H883" s="1543" t="s">
        <v>3413</v>
      </c>
      <c r="I883" s="1544" t="s">
        <v>516</v>
      </c>
      <c r="J883" s="1544" t="s">
        <v>3414</v>
      </c>
      <c r="K883" s="1544"/>
      <c r="L883" s="1544"/>
      <c r="M883" s="1544"/>
      <c r="N883" s="1544"/>
      <c r="O883" s="1544"/>
    </row>
    <row r="884" spans="8:15">
      <c r="H884" s="1543" t="s">
        <v>3415</v>
      </c>
      <c r="I884" s="1544" t="s">
        <v>516</v>
      </c>
      <c r="J884" s="1544" t="s">
        <v>3416</v>
      </c>
      <c r="K884" s="1544"/>
      <c r="L884" s="1544"/>
      <c r="M884" s="1544"/>
      <c r="N884" s="1544"/>
      <c r="O884" s="1544"/>
    </row>
    <row r="885" spans="8:15">
      <c r="H885" s="1543" t="s">
        <v>3417</v>
      </c>
      <c r="I885" s="1544" t="s">
        <v>516</v>
      </c>
      <c r="J885" s="1544" t="s">
        <v>3418</v>
      </c>
      <c r="K885" s="1544"/>
      <c r="L885" s="1544"/>
      <c r="M885" s="1544"/>
      <c r="N885" s="1544"/>
      <c r="O885" s="1544"/>
    </row>
    <row r="886" spans="8:15">
      <c r="H886" s="1543" t="s">
        <v>3419</v>
      </c>
      <c r="I886" s="1544" t="s">
        <v>516</v>
      </c>
      <c r="J886" s="1544" t="s">
        <v>3420</v>
      </c>
      <c r="K886" s="1544"/>
      <c r="L886" s="1544"/>
      <c r="M886" s="1544"/>
      <c r="N886" s="1544"/>
      <c r="O886" s="1544"/>
    </row>
    <row r="887" spans="8:15">
      <c r="H887" s="1543" t="s">
        <v>3421</v>
      </c>
      <c r="I887" s="1544" t="s">
        <v>516</v>
      </c>
      <c r="J887" s="1544" t="s">
        <v>3422</v>
      </c>
      <c r="K887" s="1544"/>
      <c r="L887" s="1544"/>
      <c r="M887" s="1544"/>
      <c r="N887" s="1544"/>
      <c r="O887" s="1544"/>
    </row>
    <row r="888" spans="8:15">
      <c r="H888" s="1543" t="s">
        <v>3423</v>
      </c>
      <c r="I888" s="1544" t="s">
        <v>516</v>
      </c>
      <c r="J888" s="1544" t="s">
        <v>3424</v>
      </c>
      <c r="K888" s="1544"/>
      <c r="L888" s="1544"/>
      <c r="M888" s="1544"/>
      <c r="N888" s="1544"/>
      <c r="O888" s="1544"/>
    </row>
    <row r="889" spans="8:15">
      <c r="H889" s="1543" t="s">
        <v>3425</v>
      </c>
      <c r="I889" s="1544" t="s">
        <v>492</v>
      </c>
      <c r="J889" s="1544"/>
      <c r="K889" s="1544">
        <f>ROW()</f>
        <v>889</v>
      </c>
      <c r="L889" s="1544">
        <f>K889+COUNTIF($I$122:$I$1909,I889)-1</f>
        <v>904</v>
      </c>
      <c r="M889" s="1544"/>
      <c r="N889" s="1544"/>
      <c r="O889" s="1544"/>
    </row>
    <row r="890" spans="8:15">
      <c r="H890" s="1543" t="s">
        <v>1301</v>
      </c>
      <c r="I890" s="1544" t="s">
        <v>492</v>
      </c>
      <c r="J890" s="1544" t="s">
        <v>1300</v>
      </c>
      <c r="K890" s="1544"/>
      <c r="L890" s="1544"/>
      <c r="M890" s="1544"/>
      <c r="N890" s="1544"/>
      <c r="O890" s="1544"/>
    </row>
    <row r="891" spans="8:15">
      <c r="H891" s="1543" t="s">
        <v>3426</v>
      </c>
      <c r="I891" s="1544" t="s">
        <v>492</v>
      </c>
      <c r="J891" s="1544" t="s">
        <v>3427</v>
      </c>
      <c r="K891" s="1544"/>
      <c r="L891" s="1544"/>
      <c r="M891" s="1544"/>
      <c r="N891" s="1544"/>
      <c r="O891" s="1544"/>
    </row>
    <row r="892" spans="8:15">
      <c r="H892" s="1543" t="s">
        <v>3428</v>
      </c>
      <c r="I892" s="1544" t="s">
        <v>492</v>
      </c>
      <c r="J892" s="1544" t="s">
        <v>3429</v>
      </c>
      <c r="K892" s="1544"/>
      <c r="L892" s="1544"/>
      <c r="M892" s="1544"/>
      <c r="N892" s="1544"/>
      <c r="O892" s="1544"/>
    </row>
    <row r="893" spans="8:15">
      <c r="H893" s="1543" t="s">
        <v>3430</v>
      </c>
      <c r="I893" s="1544" t="s">
        <v>492</v>
      </c>
      <c r="J893" s="1544" t="s">
        <v>3431</v>
      </c>
      <c r="K893" s="1544"/>
      <c r="L893" s="1544"/>
      <c r="M893" s="1544"/>
      <c r="N893" s="1544"/>
      <c r="O893" s="1544"/>
    </row>
    <row r="894" spans="8:15">
      <c r="H894" s="1543" t="s">
        <v>3432</v>
      </c>
      <c r="I894" s="1544" t="s">
        <v>492</v>
      </c>
      <c r="J894" s="1544" t="s">
        <v>3433</v>
      </c>
      <c r="K894" s="1544"/>
      <c r="L894" s="1544"/>
      <c r="M894" s="1544"/>
      <c r="N894" s="1544"/>
      <c r="O894" s="1544"/>
    </row>
    <row r="895" spans="8:15">
      <c r="H895" s="1543" t="s">
        <v>3434</v>
      </c>
      <c r="I895" s="1544" t="s">
        <v>492</v>
      </c>
      <c r="J895" s="1544" t="s">
        <v>3435</v>
      </c>
      <c r="K895" s="1544"/>
      <c r="L895" s="1544"/>
      <c r="M895" s="1544"/>
      <c r="N895" s="1544"/>
      <c r="O895" s="1544"/>
    </row>
    <row r="896" spans="8:15">
      <c r="H896" s="1543" t="s">
        <v>3436</v>
      </c>
      <c r="I896" s="1544" t="s">
        <v>492</v>
      </c>
      <c r="J896" s="1544" t="s">
        <v>3437</v>
      </c>
      <c r="K896" s="1544"/>
      <c r="L896" s="1544"/>
      <c r="M896" s="1544"/>
      <c r="N896" s="1544"/>
      <c r="O896" s="1544"/>
    </row>
    <row r="897" spans="8:15">
      <c r="H897" s="1543" t="s">
        <v>3438</v>
      </c>
      <c r="I897" s="1544" t="s">
        <v>492</v>
      </c>
      <c r="J897" s="1544" t="s">
        <v>3439</v>
      </c>
      <c r="K897" s="1544"/>
      <c r="L897" s="1544"/>
      <c r="M897" s="1544"/>
      <c r="N897" s="1544"/>
      <c r="O897" s="1544"/>
    </row>
    <row r="898" spans="8:15">
      <c r="H898" s="1543" t="s">
        <v>3440</v>
      </c>
      <c r="I898" s="1544" t="s">
        <v>492</v>
      </c>
      <c r="J898" s="1544" t="s">
        <v>3441</v>
      </c>
      <c r="K898" s="1544"/>
      <c r="L898" s="1544"/>
      <c r="M898" s="1544"/>
      <c r="N898" s="1544"/>
      <c r="O898" s="1544"/>
    </row>
    <row r="899" spans="8:15">
      <c r="H899" s="1543" t="s">
        <v>3442</v>
      </c>
      <c r="I899" s="1544" t="s">
        <v>492</v>
      </c>
      <c r="J899" s="1544" t="s">
        <v>3443</v>
      </c>
      <c r="K899" s="1544"/>
      <c r="L899" s="1544"/>
      <c r="M899" s="1544"/>
      <c r="N899" s="1544"/>
      <c r="O899" s="1544"/>
    </row>
    <row r="900" spans="8:15">
      <c r="H900" s="1543" t="s">
        <v>3444</v>
      </c>
      <c r="I900" s="1544" t="s">
        <v>492</v>
      </c>
      <c r="J900" s="1544" t="s">
        <v>3445</v>
      </c>
      <c r="K900" s="1544"/>
      <c r="L900" s="1544"/>
      <c r="M900" s="1544"/>
      <c r="N900" s="1544"/>
      <c r="O900" s="1544"/>
    </row>
    <row r="901" spans="8:15">
      <c r="H901" s="1543" t="s">
        <v>3446</v>
      </c>
      <c r="I901" s="1544" t="s">
        <v>492</v>
      </c>
      <c r="J901" s="1544" t="s">
        <v>3447</v>
      </c>
      <c r="K901" s="1544"/>
      <c r="L901" s="1544"/>
      <c r="M901" s="1544"/>
      <c r="N901" s="1544"/>
      <c r="O901" s="1544"/>
    </row>
    <row r="902" spans="8:15">
      <c r="H902" s="1543" t="s">
        <v>3448</v>
      </c>
      <c r="I902" s="1544" t="s">
        <v>492</v>
      </c>
      <c r="J902" s="1544" t="s">
        <v>3449</v>
      </c>
      <c r="K902" s="1544"/>
      <c r="L902" s="1544"/>
      <c r="M902" s="1544"/>
      <c r="N902" s="1544"/>
      <c r="O902" s="1544"/>
    </row>
    <row r="903" spans="8:15">
      <c r="H903" s="1543" t="s">
        <v>3450</v>
      </c>
      <c r="I903" s="1544" t="s">
        <v>492</v>
      </c>
      <c r="J903" s="1544" t="s">
        <v>3451</v>
      </c>
      <c r="K903" s="1544"/>
      <c r="L903" s="1544"/>
      <c r="M903" s="1544"/>
      <c r="N903" s="1544"/>
      <c r="O903" s="1544"/>
    </row>
    <row r="904" spans="8:15">
      <c r="H904" s="1543" t="s">
        <v>3452</v>
      </c>
      <c r="I904" s="1544" t="s">
        <v>492</v>
      </c>
      <c r="J904" s="1544" t="s">
        <v>2688</v>
      </c>
      <c r="K904" s="1544"/>
      <c r="L904" s="1544"/>
      <c r="M904" s="1544"/>
      <c r="N904" s="1544"/>
      <c r="O904" s="1544"/>
    </row>
    <row r="905" spans="8:15">
      <c r="H905" s="1543" t="s">
        <v>3453</v>
      </c>
      <c r="I905" s="1544" t="s">
        <v>493</v>
      </c>
      <c r="J905" s="1544"/>
      <c r="K905" s="1544">
        <f>ROW()</f>
        <v>905</v>
      </c>
      <c r="L905" s="1544">
        <f>K905+COUNTIF($I$122:$I$1909,I905)-1</f>
        <v>924</v>
      </c>
      <c r="M905" s="1544"/>
      <c r="N905" s="1544"/>
      <c r="O905" s="1544"/>
    </row>
    <row r="906" spans="8:15">
      <c r="H906" s="1543" t="s">
        <v>1303</v>
      </c>
      <c r="I906" s="1544" t="s">
        <v>493</v>
      </c>
      <c r="J906" s="1544" t="s">
        <v>1302</v>
      </c>
      <c r="K906" s="1544"/>
      <c r="L906" s="1544"/>
      <c r="M906" s="1544"/>
      <c r="N906" s="1544"/>
      <c r="O906" s="1544"/>
    </row>
    <row r="907" spans="8:15">
      <c r="H907" s="1543" t="s">
        <v>3454</v>
      </c>
      <c r="I907" s="1544" t="s">
        <v>493</v>
      </c>
      <c r="J907" s="1544" t="s">
        <v>3455</v>
      </c>
      <c r="K907" s="1544"/>
      <c r="L907" s="1544"/>
      <c r="M907" s="1544"/>
      <c r="N907" s="1544"/>
      <c r="O907" s="1544"/>
    </row>
    <row r="908" spans="8:15">
      <c r="H908" s="1543" t="s">
        <v>3456</v>
      </c>
      <c r="I908" s="1544" t="s">
        <v>493</v>
      </c>
      <c r="J908" s="1544" t="s">
        <v>3457</v>
      </c>
      <c r="K908" s="1544"/>
      <c r="L908" s="1544"/>
      <c r="M908" s="1544"/>
      <c r="N908" s="1544"/>
      <c r="O908" s="1544"/>
    </row>
    <row r="909" spans="8:15">
      <c r="H909" s="1543" t="s">
        <v>3458</v>
      </c>
      <c r="I909" s="1544" t="s">
        <v>493</v>
      </c>
      <c r="J909" s="1544" t="s">
        <v>3459</v>
      </c>
      <c r="K909" s="1544"/>
      <c r="L909" s="1544"/>
      <c r="M909" s="1544"/>
      <c r="N909" s="1544"/>
      <c r="O909" s="1544"/>
    </row>
    <row r="910" spans="8:15">
      <c r="H910" s="1543" t="s">
        <v>3460</v>
      </c>
      <c r="I910" s="1544" t="s">
        <v>493</v>
      </c>
      <c r="J910" s="1544" t="s">
        <v>3461</v>
      </c>
      <c r="K910" s="1544"/>
      <c r="L910" s="1544"/>
      <c r="M910" s="1544"/>
      <c r="N910" s="1544"/>
      <c r="O910" s="1544"/>
    </row>
    <row r="911" spans="8:15">
      <c r="H911" s="1543" t="s">
        <v>3462</v>
      </c>
      <c r="I911" s="1544" t="s">
        <v>493</v>
      </c>
      <c r="J911" s="1544" t="s">
        <v>3463</v>
      </c>
      <c r="K911" s="1544"/>
      <c r="L911" s="1544"/>
      <c r="M911" s="1544"/>
      <c r="N911" s="1544"/>
      <c r="O911" s="1544"/>
    </row>
    <row r="912" spans="8:15">
      <c r="H912" s="1543" t="s">
        <v>3464</v>
      </c>
      <c r="I912" s="1544" t="s">
        <v>493</v>
      </c>
      <c r="J912" s="1544" t="s">
        <v>3465</v>
      </c>
      <c r="K912" s="1544"/>
      <c r="L912" s="1544"/>
      <c r="M912" s="1544"/>
      <c r="N912" s="1544"/>
      <c r="O912" s="1544"/>
    </row>
    <row r="913" spans="8:15">
      <c r="H913" s="1543" t="s">
        <v>3466</v>
      </c>
      <c r="I913" s="1544" t="s">
        <v>493</v>
      </c>
      <c r="J913" s="1544" t="s">
        <v>3467</v>
      </c>
      <c r="K913" s="1544"/>
      <c r="L913" s="1544"/>
      <c r="M913" s="1544"/>
      <c r="N913" s="1544"/>
      <c r="O913" s="1544"/>
    </row>
    <row r="914" spans="8:15">
      <c r="H914" s="1543" t="s">
        <v>3468</v>
      </c>
      <c r="I914" s="1544" t="s">
        <v>493</v>
      </c>
      <c r="J914" s="1544" t="s">
        <v>3469</v>
      </c>
      <c r="K914" s="1544"/>
      <c r="L914" s="1544"/>
      <c r="M914" s="1544"/>
      <c r="N914" s="1544"/>
      <c r="O914" s="1544"/>
    </row>
    <row r="915" spans="8:15">
      <c r="H915" s="1543" t="s">
        <v>3470</v>
      </c>
      <c r="I915" s="1544" t="s">
        <v>493</v>
      </c>
      <c r="J915" s="1544" t="s">
        <v>3471</v>
      </c>
      <c r="K915" s="1544"/>
      <c r="L915" s="1544"/>
      <c r="M915" s="1544"/>
      <c r="N915" s="1544"/>
      <c r="O915" s="1544"/>
    </row>
    <row r="916" spans="8:15">
      <c r="H916" s="1543" t="s">
        <v>3472</v>
      </c>
      <c r="I916" s="1544" t="s">
        <v>493</v>
      </c>
      <c r="J916" s="1544" t="s">
        <v>3473</v>
      </c>
      <c r="K916" s="1544"/>
      <c r="L916" s="1544"/>
      <c r="M916" s="1544"/>
      <c r="N916" s="1544"/>
      <c r="O916" s="1544"/>
    </row>
    <row r="917" spans="8:15">
      <c r="H917" s="1543" t="s">
        <v>3474</v>
      </c>
      <c r="I917" s="1544" t="s">
        <v>493</v>
      </c>
      <c r="J917" s="1544" t="s">
        <v>3475</v>
      </c>
      <c r="K917" s="1544"/>
      <c r="L917" s="1544"/>
      <c r="M917" s="1544"/>
      <c r="N917" s="1544"/>
      <c r="O917" s="1544"/>
    </row>
    <row r="918" spans="8:15">
      <c r="H918" s="1543" t="s">
        <v>3476</v>
      </c>
      <c r="I918" s="1544" t="s">
        <v>493</v>
      </c>
      <c r="J918" s="1544" t="s">
        <v>3477</v>
      </c>
      <c r="K918" s="1544"/>
      <c r="L918" s="1544"/>
      <c r="M918" s="1544"/>
      <c r="N918" s="1544"/>
      <c r="O918" s="1544"/>
    </row>
    <row r="919" spans="8:15">
      <c r="H919" s="1543" t="s">
        <v>3478</v>
      </c>
      <c r="I919" s="1544" t="s">
        <v>493</v>
      </c>
      <c r="J919" s="1544" t="s">
        <v>3479</v>
      </c>
      <c r="K919" s="1544"/>
      <c r="L919" s="1544"/>
      <c r="M919" s="1544"/>
      <c r="N919" s="1544"/>
      <c r="O919" s="1544"/>
    </row>
    <row r="920" spans="8:15">
      <c r="H920" s="1543" t="s">
        <v>3480</v>
      </c>
      <c r="I920" s="1544" t="s">
        <v>493</v>
      </c>
      <c r="J920" s="1544" t="s">
        <v>3481</v>
      </c>
      <c r="K920" s="1544"/>
      <c r="L920" s="1544"/>
      <c r="M920" s="1544"/>
      <c r="N920" s="1544"/>
      <c r="O920" s="1544"/>
    </row>
    <row r="921" spans="8:15">
      <c r="H921" s="1543" t="s">
        <v>3482</v>
      </c>
      <c r="I921" s="1544" t="s">
        <v>493</v>
      </c>
      <c r="J921" s="1544" t="s">
        <v>3483</v>
      </c>
      <c r="K921" s="1544"/>
      <c r="L921" s="1544"/>
      <c r="M921" s="1544"/>
      <c r="N921" s="1544"/>
      <c r="O921" s="1544"/>
    </row>
    <row r="922" spans="8:15">
      <c r="H922" s="1543" t="s">
        <v>3484</v>
      </c>
      <c r="I922" s="1544" t="s">
        <v>493</v>
      </c>
      <c r="J922" s="1544" t="s">
        <v>3485</v>
      </c>
      <c r="K922" s="1544"/>
      <c r="L922" s="1544"/>
      <c r="M922" s="1544"/>
      <c r="N922" s="1544"/>
      <c r="O922" s="1544"/>
    </row>
    <row r="923" spans="8:15">
      <c r="H923" s="1543" t="s">
        <v>3486</v>
      </c>
      <c r="I923" s="1544" t="s">
        <v>493</v>
      </c>
      <c r="J923" s="1544" t="s">
        <v>3487</v>
      </c>
      <c r="K923" s="1544"/>
      <c r="L923" s="1544"/>
      <c r="M923" s="1544"/>
      <c r="N923" s="1544"/>
      <c r="O923" s="1544"/>
    </row>
    <row r="924" spans="8:15">
      <c r="H924" s="1543" t="s">
        <v>3488</v>
      </c>
      <c r="I924" s="1544" t="s">
        <v>493</v>
      </c>
      <c r="J924" s="1544" t="s">
        <v>3489</v>
      </c>
      <c r="K924" s="1544"/>
      <c r="L924" s="1544"/>
      <c r="M924" s="1544"/>
      <c r="N924" s="1544"/>
      <c r="O924" s="1544"/>
    </row>
    <row r="925" spans="8:15">
      <c r="H925" s="1543" t="s">
        <v>3490</v>
      </c>
      <c r="I925" s="1544" t="s">
        <v>517</v>
      </c>
      <c r="J925" s="1544"/>
      <c r="K925" s="1544">
        <f>ROW()</f>
        <v>925</v>
      </c>
      <c r="L925" s="1544">
        <f>K925+COUNTIF($I$122:$I$1909,I925)-1</f>
        <v>942</v>
      </c>
      <c r="M925" s="1544"/>
      <c r="N925" s="1544"/>
      <c r="O925" s="1544"/>
    </row>
    <row r="926" spans="8:15">
      <c r="H926" s="1543" t="s">
        <v>1395</v>
      </c>
      <c r="I926" s="1544" t="s">
        <v>517</v>
      </c>
      <c r="J926" s="1544" t="s">
        <v>1394</v>
      </c>
      <c r="K926" s="1544"/>
      <c r="L926" s="1544"/>
      <c r="M926" s="1544"/>
      <c r="N926" s="1544"/>
      <c r="O926" s="1544"/>
    </row>
    <row r="927" spans="8:15">
      <c r="H927" s="1543" t="s">
        <v>3491</v>
      </c>
      <c r="I927" s="1544" t="s">
        <v>517</v>
      </c>
      <c r="J927" s="1544" t="s">
        <v>3492</v>
      </c>
      <c r="K927" s="1544"/>
      <c r="L927" s="1544"/>
      <c r="M927" s="1544"/>
      <c r="N927" s="1544"/>
      <c r="O927" s="1544"/>
    </row>
    <row r="928" spans="8:15">
      <c r="H928" s="1543" t="s">
        <v>3493</v>
      </c>
      <c r="I928" s="1544" t="s">
        <v>517</v>
      </c>
      <c r="J928" s="1544" t="s">
        <v>3494</v>
      </c>
      <c r="K928" s="1544"/>
      <c r="L928" s="1544"/>
      <c r="M928" s="1544"/>
      <c r="N928" s="1544"/>
      <c r="O928" s="1544"/>
    </row>
    <row r="929" spans="8:15">
      <c r="H929" s="1543" t="s">
        <v>3495</v>
      </c>
      <c r="I929" s="1544" t="s">
        <v>517</v>
      </c>
      <c r="J929" s="1544" t="s">
        <v>3496</v>
      </c>
      <c r="K929" s="1544"/>
      <c r="L929" s="1544"/>
      <c r="M929" s="1544"/>
      <c r="N929" s="1544"/>
      <c r="O929" s="1544"/>
    </row>
    <row r="930" spans="8:15">
      <c r="H930" s="1543" t="s">
        <v>3497</v>
      </c>
      <c r="I930" s="1544" t="s">
        <v>517</v>
      </c>
      <c r="J930" s="1544" t="s">
        <v>3498</v>
      </c>
      <c r="K930" s="1544"/>
      <c r="L930" s="1544"/>
      <c r="M930" s="1544"/>
      <c r="N930" s="1544"/>
      <c r="O930" s="1544"/>
    </row>
    <row r="931" spans="8:15">
      <c r="H931" s="1543" t="s">
        <v>3499</v>
      </c>
      <c r="I931" s="1544" t="s">
        <v>517</v>
      </c>
      <c r="J931" s="1544" t="s">
        <v>3500</v>
      </c>
      <c r="K931" s="1544"/>
      <c r="L931" s="1544"/>
      <c r="M931" s="1544"/>
      <c r="N931" s="1544"/>
      <c r="O931" s="1544"/>
    </row>
    <row r="932" spans="8:15">
      <c r="H932" s="1543" t="s">
        <v>3501</v>
      </c>
      <c r="I932" s="1544" t="s">
        <v>517</v>
      </c>
      <c r="J932" s="1544" t="s">
        <v>3502</v>
      </c>
      <c r="K932" s="1544"/>
      <c r="L932" s="1544"/>
      <c r="M932" s="1544"/>
      <c r="N932" s="1544"/>
      <c r="O932" s="1544"/>
    </row>
    <row r="933" spans="8:15">
      <c r="H933" s="1543" t="s">
        <v>3503</v>
      </c>
      <c r="I933" s="1544" t="s">
        <v>517</v>
      </c>
      <c r="J933" s="1544" t="s">
        <v>3504</v>
      </c>
      <c r="K933" s="1544"/>
      <c r="L933" s="1544"/>
      <c r="M933" s="1544"/>
      <c r="N933" s="1544"/>
      <c r="O933" s="1544"/>
    </row>
    <row r="934" spans="8:15">
      <c r="H934" s="1543" t="s">
        <v>3505</v>
      </c>
      <c r="I934" s="1544" t="s">
        <v>517</v>
      </c>
      <c r="J934" s="1544" t="s">
        <v>3506</v>
      </c>
      <c r="K934" s="1544"/>
      <c r="L934" s="1544"/>
      <c r="M934" s="1544"/>
      <c r="N934" s="1544"/>
      <c r="O934" s="1544"/>
    </row>
    <row r="935" spans="8:15">
      <c r="H935" s="1543" t="s">
        <v>3507</v>
      </c>
      <c r="I935" s="1544" t="s">
        <v>517</v>
      </c>
      <c r="J935" s="1544" t="s">
        <v>3508</v>
      </c>
      <c r="K935" s="1544"/>
      <c r="L935" s="1544"/>
      <c r="M935" s="1544"/>
      <c r="N935" s="1544"/>
      <c r="O935" s="1544"/>
    </row>
    <row r="936" spans="8:15">
      <c r="H936" s="1543" t="s">
        <v>3509</v>
      </c>
      <c r="I936" s="1544" t="s">
        <v>517</v>
      </c>
      <c r="J936" s="1544" t="s">
        <v>2361</v>
      </c>
      <c r="K936" s="1544"/>
      <c r="L936" s="1544"/>
      <c r="M936" s="1544"/>
      <c r="N936" s="1544"/>
      <c r="O936" s="1544"/>
    </row>
    <row r="937" spans="8:15">
      <c r="H937" s="1543" t="s">
        <v>3510</v>
      </c>
      <c r="I937" s="1544" t="s">
        <v>517</v>
      </c>
      <c r="J937" s="1544" t="s">
        <v>3511</v>
      </c>
      <c r="K937" s="1544"/>
      <c r="L937" s="1544"/>
      <c r="M937" s="1544"/>
      <c r="N937" s="1544"/>
      <c r="O937" s="1544"/>
    </row>
    <row r="938" spans="8:15">
      <c r="H938" s="1543" t="s">
        <v>3512</v>
      </c>
      <c r="I938" s="1544" t="s">
        <v>517</v>
      </c>
      <c r="J938" s="1544" t="s">
        <v>3513</v>
      </c>
      <c r="K938" s="1544"/>
      <c r="L938" s="1544"/>
      <c r="M938" s="1544"/>
      <c r="N938" s="1544"/>
      <c r="O938" s="1544"/>
    </row>
    <row r="939" spans="8:15">
      <c r="H939" s="1543" t="s">
        <v>3514</v>
      </c>
      <c r="I939" s="1544" t="s">
        <v>517</v>
      </c>
      <c r="J939" s="1544" t="s">
        <v>3515</v>
      </c>
      <c r="K939" s="1544"/>
      <c r="L939" s="1544"/>
      <c r="M939" s="1544"/>
      <c r="N939" s="1544"/>
      <c r="O939" s="1544"/>
    </row>
    <row r="940" spans="8:15">
      <c r="H940" s="1543" t="s">
        <v>3516</v>
      </c>
      <c r="I940" s="1544" t="s">
        <v>517</v>
      </c>
      <c r="J940" s="1544" t="s">
        <v>3517</v>
      </c>
      <c r="K940" s="1544"/>
      <c r="L940" s="1544"/>
      <c r="M940" s="1544"/>
      <c r="N940" s="1544"/>
      <c r="O940" s="1544"/>
    </row>
    <row r="941" spans="8:15">
      <c r="H941" s="1543" t="s">
        <v>3518</v>
      </c>
      <c r="I941" s="1544" t="s">
        <v>517</v>
      </c>
      <c r="J941" s="1544" t="s">
        <v>3519</v>
      </c>
      <c r="K941" s="1544"/>
      <c r="L941" s="1544"/>
      <c r="M941" s="1544"/>
      <c r="N941" s="1544"/>
      <c r="O941" s="1544"/>
    </row>
    <row r="942" spans="8:15">
      <c r="H942" s="1543" t="s">
        <v>3520</v>
      </c>
      <c r="I942" s="1544" t="s">
        <v>517</v>
      </c>
      <c r="J942" s="1544" t="s">
        <v>3521</v>
      </c>
      <c r="K942" s="1544"/>
      <c r="L942" s="1544"/>
      <c r="M942" s="1544"/>
      <c r="N942" s="1544"/>
      <c r="O942" s="1544"/>
    </row>
    <row r="943" spans="8:15">
      <c r="H943" s="1543" t="s">
        <v>3522</v>
      </c>
      <c r="I943" s="1544" t="s">
        <v>518</v>
      </c>
      <c r="J943" s="1544"/>
      <c r="K943" s="1544">
        <f>ROW()</f>
        <v>943</v>
      </c>
      <c r="L943" s="1544">
        <f>K943+COUNTIF($I$122:$I$1909,I943)-1</f>
        <v>970</v>
      </c>
      <c r="M943" s="1544"/>
      <c r="N943" s="1544"/>
      <c r="O943" s="1544"/>
    </row>
    <row r="944" spans="8:15">
      <c r="H944" s="1543" t="s">
        <v>1397</v>
      </c>
      <c r="I944" s="1544" t="s">
        <v>518</v>
      </c>
      <c r="J944" s="1544" t="s">
        <v>1396</v>
      </c>
      <c r="K944" s="1544"/>
      <c r="L944" s="1544"/>
      <c r="M944" s="1544"/>
      <c r="N944" s="1544"/>
      <c r="O944" s="1544"/>
    </row>
    <row r="945" spans="8:15">
      <c r="H945" s="1543" t="s">
        <v>3523</v>
      </c>
      <c r="I945" s="1544" t="s">
        <v>518</v>
      </c>
      <c r="J945" s="1544" t="s">
        <v>3524</v>
      </c>
      <c r="K945" s="1544"/>
      <c r="L945" s="1544"/>
      <c r="M945" s="1544"/>
      <c r="N945" s="1544"/>
      <c r="O945" s="1544"/>
    </row>
    <row r="946" spans="8:15">
      <c r="H946" s="1543" t="s">
        <v>3525</v>
      </c>
      <c r="I946" s="1544" t="s">
        <v>518</v>
      </c>
      <c r="J946" s="1544" t="s">
        <v>3526</v>
      </c>
      <c r="K946" s="1544"/>
      <c r="L946" s="1544"/>
      <c r="M946" s="1544"/>
      <c r="N946" s="1544"/>
      <c r="O946" s="1544"/>
    </row>
    <row r="947" spans="8:15">
      <c r="H947" s="1543" t="s">
        <v>3527</v>
      </c>
      <c r="I947" s="1544" t="s">
        <v>518</v>
      </c>
      <c r="J947" s="1544" t="s">
        <v>3528</v>
      </c>
      <c r="K947" s="1544"/>
      <c r="L947" s="1544"/>
      <c r="M947" s="1544"/>
      <c r="N947" s="1544"/>
      <c r="O947" s="1544"/>
    </row>
    <row r="948" spans="8:15">
      <c r="H948" s="1543" t="s">
        <v>3529</v>
      </c>
      <c r="I948" s="1544" t="s">
        <v>518</v>
      </c>
      <c r="J948" s="1544" t="s">
        <v>3530</v>
      </c>
      <c r="K948" s="1544"/>
      <c r="L948" s="1544"/>
      <c r="M948" s="1544"/>
      <c r="N948" s="1544"/>
      <c r="O948" s="1544"/>
    </row>
    <row r="949" spans="8:15">
      <c r="H949" s="1543" t="s">
        <v>3531</v>
      </c>
      <c r="I949" s="1544" t="s">
        <v>518</v>
      </c>
      <c r="J949" s="1544" t="s">
        <v>3532</v>
      </c>
      <c r="K949" s="1544"/>
      <c r="L949" s="1544"/>
      <c r="M949" s="1544"/>
      <c r="N949" s="1544"/>
      <c r="O949" s="1544"/>
    </row>
    <row r="950" spans="8:15">
      <c r="H950" s="1543" t="s">
        <v>3533</v>
      </c>
      <c r="I950" s="1544" t="s">
        <v>518</v>
      </c>
      <c r="J950" s="1544" t="s">
        <v>3534</v>
      </c>
      <c r="K950" s="1544"/>
      <c r="L950" s="1544"/>
      <c r="M950" s="1544"/>
      <c r="N950" s="1544"/>
      <c r="O950" s="1544"/>
    </row>
    <row r="951" spans="8:15">
      <c r="H951" s="1543" t="s">
        <v>3535</v>
      </c>
      <c r="I951" s="1544" t="s">
        <v>518</v>
      </c>
      <c r="J951" s="1544" t="s">
        <v>3536</v>
      </c>
      <c r="K951" s="1544"/>
      <c r="L951" s="1544"/>
      <c r="M951" s="1544"/>
      <c r="N951" s="1544"/>
      <c r="O951" s="1544"/>
    </row>
    <row r="952" spans="8:15">
      <c r="H952" s="1543" t="s">
        <v>3537</v>
      </c>
      <c r="I952" s="1544" t="s">
        <v>518</v>
      </c>
      <c r="J952" s="1544" t="s">
        <v>3538</v>
      </c>
      <c r="K952" s="1544"/>
      <c r="L952" s="1544"/>
      <c r="M952" s="1544"/>
      <c r="N952" s="1544"/>
      <c r="O952" s="1544"/>
    </row>
    <row r="953" spans="8:15">
      <c r="H953" s="1543" t="s">
        <v>3539</v>
      </c>
      <c r="I953" s="1544" t="s">
        <v>518</v>
      </c>
      <c r="J953" s="1544" t="s">
        <v>3540</v>
      </c>
      <c r="K953" s="1544"/>
      <c r="L953" s="1544"/>
      <c r="M953" s="1544"/>
      <c r="N953" s="1544"/>
      <c r="O953" s="1544"/>
    </row>
    <row r="954" spans="8:15">
      <c r="H954" s="1543" t="s">
        <v>3541</v>
      </c>
      <c r="I954" s="1544" t="s">
        <v>518</v>
      </c>
      <c r="J954" s="1544" t="s">
        <v>3542</v>
      </c>
      <c r="K954" s="1544"/>
      <c r="L954" s="1544"/>
      <c r="M954" s="1544"/>
      <c r="N954" s="1544"/>
      <c r="O954" s="1544"/>
    </row>
    <row r="955" spans="8:15">
      <c r="H955" s="1543" t="s">
        <v>3543</v>
      </c>
      <c r="I955" s="1544" t="s">
        <v>518</v>
      </c>
      <c r="J955" s="1544" t="s">
        <v>3544</v>
      </c>
      <c r="K955" s="1544"/>
      <c r="L955" s="1544"/>
      <c r="M955" s="1544"/>
      <c r="N955" s="1544"/>
      <c r="O955" s="1544"/>
    </row>
    <row r="956" spans="8:15">
      <c r="H956" s="1543" t="s">
        <v>3545</v>
      </c>
      <c r="I956" s="1544" t="s">
        <v>518</v>
      </c>
      <c r="J956" s="1544" t="s">
        <v>3546</v>
      </c>
      <c r="K956" s="1544"/>
      <c r="L956" s="1544"/>
      <c r="M956" s="1544"/>
      <c r="N956" s="1544"/>
      <c r="O956" s="1544"/>
    </row>
    <row r="957" spans="8:15">
      <c r="H957" s="1543" t="s">
        <v>3547</v>
      </c>
      <c r="I957" s="1544" t="s">
        <v>518</v>
      </c>
      <c r="J957" s="1544" t="s">
        <v>3548</v>
      </c>
      <c r="K957" s="1544"/>
      <c r="L957" s="1544"/>
      <c r="M957" s="1544"/>
      <c r="N957" s="1544"/>
      <c r="O957" s="1544"/>
    </row>
    <row r="958" spans="8:15">
      <c r="H958" s="1543" t="s">
        <v>3549</v>
      </c>
      <c r="I958" s="1544" t="s">
        <v>518</v>
      </c>
      <c r="J958" s="1544" t="s">
        <v>3550</v>
      </c>
      <c r="K958" s="1544"/>
      <c r="L958" s="1544"/>
      <c r="M958" s="1544"/>
      <c r="N958" s="1544"/>
      <c r="O958" s="1544"/>
    </row>
    <row r="959" spans="8:15">
      <c r="H959" s="1543" t="s">
        <v>3551</v>
      </c>
      <c r="I959" s="1544" t="s">
        <v>518</v>
      </c>
      <c r="J959" s="1544" t="s">
        <v>3552</v>
      </c>
      <c r="K959" s="1544"/>
      <c r="L959" s="1544"/>
      <c r="M959" s="1544"/>
      <c r="N959" s="1544"/>
      <c r="O959" s="1544"/>
    </row>
    <row r="960" spans="8:15">
      <c r="H960" s="1543" t="s">
        <v>3553</v>
      </c>
      <c r="I960" s="1544" t="s">
        <v>518</v>
      </c>
      <c r="J960" s="1544" t="s">
        <v>2466</v>
      </c>
      <c r="K960" s="1544"/>
      <c r="L960" s="1544"/>
      <c r="M960" s="1544"/>
      <c r="N960" s="1544"/>
      <c r="O960" s="1544"/>
    </row>
    <row r="961" spans="8:15">
      <c r="H961" s="1543" t="s">
        <v>3554</v>
      </c>
      <c r="I961" s="1544" t="s">
        <v>518</v>
      </c>
      <c r="J961" s="1544" t="s">
        <v>3555</v>
      </c>
      <c r="K961" s="1544"/>
      <c r="L961" s="1544"/>
      <c r="M961" s="1544"/>
      <c r="N961" s="1544"/>
      <c r="O961" s="1544"/>
    </row>
    <row r="962" spans="8:15">
      <c r="H962" s="1543" t="s">
        <v>3556</v>
      </c>
      <c r="I962" s="1544" t="s">
        <v>518</v>
      </c>
      <c r="J962" s="1544" t="s">
        <v>3557</v>
      </c>
      <c r="K962" s="1544"/>
      <c r="L962" s="1544"/>
      <c r="M962" s="1544"/>
      <c r="N962" s="1544"/>
      <c r="O962" s="1544"/>
    </row>
    <row r="963" spans="8:15">
      <c r="H963" s="1543" t="s">
        <v>3558</v>
      </c>
      <c r="I963" s="1544" t="s">
        <v>518</v>
      </c>
      <c r="J963" s="1544" t="s">
        <v>3559</v>
      </c>
      <c r="K963" s="1544"/>
      <c r="L963" s="1544"/>
      <c r="M963" s="1544"/>
      <c r="N963" s="1544"/>
      <c r="O963" s="1544"/>
    </row>
    <row r="964" spans="8:15">
      <c r="H964" s="1543" t="s">
        <v>3560</v>
      </c>
      <c r="I964" s="1544" t="s">
        <v>518</v>
      </c>
      <c r="J964" s="1544" t="s">
        <v>3561</v>
      </c>
      <c r="K964" s="1544"/>
      <c r="L964" s="1544"/>
      <c r="M964" s="1544"/>
      <c r="N964" s="1544"/>
      <c r="O964" s="1544"/>
    </row>
    <row r="965" spans="8:15">
      <c r="H965" s="1543" t="s">
        <v>3562</v>
      </c>
      <c r="I965" s="1544" t="s">
        <v>518</v>
      </c>
      <c r="J965" s="1544" t="s">
        <v>3563</v>
      </c>
      <c r="K965" s="1544"/>
      <c r="L965" s="1544"/>
      <c r="M965" s="1544"/>
      <c r="N965" s="1544"/>
      <c r="O965" s="1544"/>
    </row>
    <row r="966" spans="8:15">
      <c r="H966" s="1543" t="s">
        <v>3564</v>
      </c>
      <c r="I966" s="1544" t="s">
        <v>518</v>
      </c>
      <c r="J966" s="1544" t="s">
        <v>3565</v>
      </c>
      <c r="K966" s="1544"/>
      <c r="L966" s="1544"/>
      <c r="M966" s="1544"/>
      <c r="N966" s="1544"/>
      <c r="O966" s="1544"/>
    </row>
    <row r="967" spans="8:15">
      <c r="H967" s="1543" t="s">
        <v>3566</v>
      </c>
      <c r="I967" s="1544" t="s">
        <v>518</v>
      </c>
      <c r="J967" s="1544" t="s">
        <v>3567</v>
      </c>
      <c r="K967" s="1544"/>
      <c r="L967" s="1544"/>
      <c r="M967" s="1544"/>
      <c r="N967" s="1544"/>
      <c r="O967" s="1544"/>
    </row>
    <row r="968" spans="8:15">
      <c r="H968" s="1543" t="s">
        <v>3568</v>
      </c>
      <c r="I968" s="1544" t="s">
        <v>518</v>
      </c>
      <c r="J968" s="1544" t="s">
        <v>3569</v>
      </c>
      <c r="K968" s="1544"/>
      <c r="L968" s="1544"/>
      <c r="M968" s="1544"/>
      <c r="N968" s="1544"/>
      <c r="O968" s="1544"/>
    </row>
    <row r="969" spans="8:15">
      <c r="H969" s="1543" t="s">
        <v>3570</v>
      </c>
      <c r="I969" s="1544" t="s">
        <v>518</v>
      </c>
      <c r="J969" s="1544" t="s">
        <v>3571</v>
      </c>
      <c r="K969" s="1544"/>
      <c r="L969" s="1544"/>
      <c r="M969" s="1544"/>
      <c r="N969" s="1544"/>
      <c r="O969" s="1544"/>
    </row>
    <row r="970" spans="8:15">
      <c r="H970" s="1543" t="s">
        <v>3572</v>
      </c>
      <c r="I970" s="1544" t="s">
        <v>518</v>
      </c>
      <c r="J970" s="1544" t="s">
        <v>3573</v>
      </c>
      <c r="K970" s="1544"/>
      <c r="L970" s="1544"/>
      <c r="M970" s="1544"/>
      <c r="N970" s="1544"/>
      <c r="O970" s="1544"/>
    </row>
    <row r="971" spans="8:15">
      <c r="H971" s="1543" t="s">
        <v>3574</v>
      </c>
      <c r="I971" s="1544" t="s">
        <v>494</v>
      </c>
      <c r="J971" s="1544"/>
      <c r="K971" s="1544">
        <f>ROW()</f>
        <v>971</v>
      </c>
      <c r="L971" s="1544">
        <f>K971+COUNTIF($I$122:$I$1909,I971)-1</f>
        <v>1048</v>
      </c>
      <c r="M971" s="1544"/>
      <c r="N971" s="1544"/>
      <c r="O971" s="1544"/>
    </row>
    <row r="972" spans="8:15">
      <c r="H972" s="1543" t="s">
        <v>1305</v>
      </c>
      <c r="I972" s="1544" t="s">
        <v>494</v>
      </c>
      <c r="J972" s="1544" t="s">
        <v>1304</v>
      </c>
      <c r="K972" s="1544"/>
      <c r="L972" s="1544"/>
      <c r="M972" s="1544"/>
      <c r="N972" s="1544"/>
      <c r="O972" s="1544"/>
    </row>
    <row r="973" spans="8:15">
      <c r="H973" s="1543" t="s">
        <v>1399</v>
      </c>
      <c r="I973" s="1544" t="s">
        <v>494</v>
      </c>
      <c r="J973" s="1544" t="s">
        <v>1398</v>
      </c>
      <c r="K973" s="1544"/>
      <c r="L973" s="1544"/>
      <c r="M973" s="1544"/>
      <c r="N973" s="1544"/>
      <c r="O973" s="1544"/>
    </row>
    <row r="974" spans="8:15">
      <c r="H974" s="1543" t="s">
        <v>3575</v>
      </c>
      <c r="I974" s="1544" t="s">
        <v>494</v>
      </c>
      <c r="J974" s="1544" t="s">
        <v>3576</v>
      </c>
      <c r="K974" s="1544"/>
      <c r="L974" s="1544"/>
      <c r="M974" s="1544"/>
      <c r="N974" s="1544"/>
      <c r="O974" s="1544"/>
    </row>
    <row r="975" spans="8:15">
      <c r="H975" s="1543" t="s">
        <v>3577</v>
      </c>
      <c r="I975" s="1544" t="s">
        <v>494</v>
      </c>
      <c r="J975" s="1544" t="s">
        <v>3578</v>
      </c>
      <c r="K975" s="1544"/>
      <c r="L975" s="1544"/>
      <c r="M975" s="1544"/>
      <c r="N975" s="1544"/>
      <c r="O975" s="1544"/>
    </row>
    <row r="976" spans="8:15">
      <c r="H976" s="1543" t="s">
        <v>3579</v>
      </c>
      <c r="I976" s="1544" t="s">
        <v>494</v>
      </c>
      <c r="J976" s="1544" t="s">
        <v>3580</v>
      </c>
      <c r="K976" s="1544"/>
      <c r="L976" s="1544"/>
      <c r="M976" s="1544"/>
      <c r="N976" s="1544"/>
      <c r="O976" s="1544"/>
    </row>
    <row r="977" spans="8:15">
      <c r="H977" s="1543" t="s">
        <v>3581</v>
      </c>
      <c r="I977" s="1544" t="s">
        <v>494</v>
      </c>
      <c r="J977" s="1544" t="s">
        <v>3582</v>
      </c>
      <c r="K977" s="1544"/>
      <c r="L977" s="1544"/>
      <c r="M977" s="1544"/>
      <c r="N977" s="1544"/>
      <c r="O977" s="1544"/>
    </row>
    <row r="978" spans="8:15">
      <c r="H978" s="1543" t="s">
        <v>3583</v>
      </c>
      <c r="I978" s="1544" t="s">
        <v>494</v>
      </c>
      <c r="J978" s="1544" t="s">
        <v>3584</v>
      </c>
      <c r="K978" s="1544"/>
      <c r="L978" s="1544"/>
      <c r="M978" s="1544"/>
      <c r="N978" s="1544"/>
      <c r="O978" s="1544"/>
    </row>
    <row r="979" spans="8:15">
      <c r="H979" s="1543" t="s">
        <v>3585</v>
      </c>
      <c r="I979" s="1544" t="s">
        <v>494</v>
      </c>
      <c r="J979" s="1544" t="s">
        <v>3586</v>
      </c>
      <c r="K979" s="1544"/>
      <c r="L979" s="1544"/>
      <c r="M979" s="1544"/>
      <c r="N979" s="1544"/>
      <c r="O979" s="1544"/>
    </row>
    <row r="980" spans="8:15">
      <c r="H980" s="1543" t="s">
        <v>3587</v>
      </c>
      <c r="I980" s="1544" t="s">
        <v>494</v>
      </c>
      <c r="J980" s="1544" t="s">
        <v>3588</v>
      </c>
      <c r="K980" s="1544"/>
      <c r="L980" s="1544"/>
      <c r="M980" s="1544"/>
      <c r="N980" s="1544"/>
      <c r="O980" s="1544"/>
    </row>
    <row r="981" spans="8:15">
      <c r="H981" s="1543" t="s">
        <v>3589</v>
      </c>
      <c r="I981" s="1544" t="s">
        <v>494</v>
      </c>
      <c r="J981" s="1544" t="s">
        <v>3590</v>
      </c>
      <c r="K981" s="1544"/>
      <c r="L981" s="1544"/>
      <c r="M981" s="1544"/>
      <c r="N981" s="1544"/>
      <c r="O981" s="1544"/>
    </row>
    <row r="982" spans="8:15">
      <c r="H982" s="1543" t="s">
        <v>3591</v>
      </c>
      <c r="I982" s="1544" t="s">
        <v>494</v>
      </c>
      <c r="J982" s="1544" t="s">
        <v>3592</v>
      </c>
      <c r="K982" s="1544"/>
      <c r="L982" s="1544"/>
      <c r="M982" s="1544"/>
      <c r="N982" s="1544"/>
      <c r="O982" s="1544"/>
    </row>
    <row r="983" spans="8:15">
      <c r="H983" s="1543" t="s">
        <v>3593</v>
      </c>
      <c r="I983" s="1544" t="s">
        <v>494</v>
      </c>
      <c r="J983" s="1544" t="s">
        <v>3594</v>
      </c>
      <c r="K983" s="1544"/>
      <c r="L983" s="1544"/>
      <c r="M983" s="1544"/>
      <c r="N983" s="1544"/>
      <c r="O983" s="1544"/>
    </row>
    <row r="984" spans="8:15">
      <c r="H984" s="1543" t="s">
        <v>3595</v>
      </c>
      <c r="I984" s="1544" t="s">
        <v>494</v>
      </c>
      <c r="J984" s="1544" t="s">
        <v>3596</v>
      </c>
      <c r="K984" s="1544"/>
      <c r="L984" s="1544"/>
      <c r="M984" s="1544"/>
      <c r="N984" s="1544"/>
      <c r="O984" s="1544"/>
    </row>
    <row r="985" spans="8:15">
      <c r="H985" s="1543" t="s">
        <v>3597</v>
      </c>
      <c r="I985" s="1544" t="s">
        <v>494</v>
      </c>
      <c r="J985" s="1544" t="s">
        <v>3598</v>
      </c>
      <c r="K985" s="1544"/>
      <c r="L985" s="1544"/>
      <c r="M985" s="1544"/>
      <c r="N985" s="1544"/>
      <c r="O985" s="1544"/>
    </row>
    <row r="986" spans="8:15">
      <c r="H986" s="1543" t="s">
        <v>3599</v>
      </c>
      <c r="I986" s="1544" t="s">
        <v>494</v>
      </c>
      <c r="J986" s="1544" t="s">
        <v>3600</v>
      </c>
      <c r="K986" s="1544"/>
      <c r="L986" s="1544"/>
      <c r="M986" s="1544"/>
      <c r="N986" s="1544"/>
      <c r="O986" s="1544"/>
    </row>
    <row r="987" spans="8:15">
      <c r="H987" s="1543" t="s">
        <v>3601</v>
      </c>
      <c r="I987" s="1544" t="s">
        <v>494</v>
      </c>
      <c r="J987" s="1544" t="s">
        <v>3602</v>
      </c>
      <c r="K987" s="1544"/>
      <c r="L987" s="1544"/>
      <c r="M987" s="1544"/>
      <c r="N987" s="1544"/>
      <c r="O987" s="1544"/>
    </row>
    <row r="988" spans="8:15">
      <c r="H988" s="1543" t="s">
        <v>3603</v>
      </c>
      <c r="I988" s="1544" t="s">
        <v>494</v>
      </c>
      <c r="J988" s="1544" t="s">
        <v>3604</v>
      </c>
      <c r="K988" s="1544"/>
      <c r="L988" s="1544"/>
      <c r="M988" s="1544"/>
      <c r="N988" s="1544"/>
      <c r="O988" s="1544"/>
    </row>
    <row r="989" spans="8:15">
      <c r="H989" s="1543" t="s">
        <v>3605</v>
      </c>
      <c r="I989" s="1544" t="s">
        <v>494</v>
      </c>
      <c r="J989" s="1544" t="s">
        <v>3606</v>
      </c>
      <c r="K989" s="1544"/>
      <c r="L989" s="1544"/>
      <c r="M989" s="1544"/>
      <c r="N989" s="1544"/>
      <c r="O989" s="1544"/>
    </row>
    <row r="990" spans="8:15">
      <c r="H990" s="1543" t="s">
        <v>3607</v>
      </c>
      <c r="I990" s="1544" t="s">
        <v>494</v>
      </c>
      <c r="J990" s="1544" t="s">
        <v>3608</v>
      </c>
      <c r="K990" s="1544"/>
      <c r="L990" s="1544"/>
      <c r="M990" s="1544"/>
      <c r="N990" s="1544"/>
      <c r="O990" s="1544"/>
    </row>
    <row r="991" spans="8:15">
      <c r="H991" s="1543" t="s">
        <v>3609</v>
      </c>
      <c r="I991" s="1544" t="s">
        <v>494</v>
      </c>
      <c r="J991" s="1544" t="s">
        <v>3610</v>
      </c>
      <c r="K991" s="1544"/>
      <c r="L991" s="1544"/>
      <c r="M991" s="1544"/>
      <c r="N991" s="1544"/>
      <c r="O991" s="1544"/>
    </row>
    <row r="992" spans="8:15">
      <c r="H992" s="1543" t="s">
        <v>3611</v>
      </c>
      <c r="I992" s="1544" t="s">
        <v>494</v>
      </c>
      <c r="J992" s="1544" t="s">
        <v>3612</v>
      </c>
      <c r="K992" s="1544"/>
      <c r="L992" s="1544"/>
      <c r="M992" s="1544"/>
      <c r="N992" s="1544"/>
      <c r="O992" s="1544"/>
    </row>
    <row r="993" spans="8:15">
      <c r="H993" s="1543" t="s">
        <v>3613</v>
      </c>
      <c r="I993" s="1544" t="s">
        <v>494</v>
      </c>
      <c r="J993" s="1544" t="s">
        <v>2997</v>
      </c>
      <c r="K993" s="1544"/>
      <c r="L993" s="1544"/>
      <c r="M993" s="1544"/>
      <c r="N993" s="1544"/>
      <c r="O993" s="1544"/>
    </row>
    <row r="994" spans="8:15">
      <c r="H994" s="1543" t="s">
        <v>3614</v>
      </c>
      <c r="I994" s="1544" t="s">
        <v>494</v>
      </c>
      <c r="J994" s="1544" t="s">
        <v>3615</v>
      </c>
      <c r="K994" s="1544"/>
      <c r="L994" s="1544"/>
      <c r="M994" s="1544"/>
      <c r="N994" s="1544"/>
      <c r="O994" s="1544"/>
    </row>
    <row r="995" spans="8:15">
      <c r="H995" s="1543" t="s">
        <v>3616</v>
      </c>
      <c r="I995" s="1544" t="s">
        <v>494</v>
      </c>
      <c r="J995" s="1544" t="s">
        <v>3617</v>
      </c>
      <c r="K995" s="1544"/>
      <c r="L995" s="1544"/>
      <c r="M995" s="1544"/>
      <c r="N995" s="1544"/>
      <c r="O995" s="1544"/>
    </row>
    <row r="996" spans="8:15">
      <c r="H996" s="1543" t="s">
        <v>3618</v>
      </c>
      <c r="I996" s="1544" t="s">
        <v>494</v>
      </c>
      <c r="J996" s="1544" t="s">
        <v>3619</v>
      </c>
      <c r="K996" s="1544"/>
      <c r="L996" s="1544"/>
      <c r="M996" s="1544"/>
      <c r="N996" s="1544"/>
      <c r="O996" s="1544"/>
    </row>
    <row r="997" spans="8:15">
      <c r="H997" s="1543" t="s">
        <v>3620</v>
      </c>
      <c r="I997" s="1544" t="s">
        <v>494</v>
      </c>
      <c r="J997" s="1544" t="s">
        <v>3621</v>
      </c>
      <c r="K997" s="1544"/>
      <c r="L997" s="1544"/>
      <c r="M997" s="1544"/>
      <c r="N997" s="1544"/>
      <c r="O997" s="1544"/>
    </row>
    <row r="998" spans="8:15">
      <c r="H998" s="1543" t="s">
        <v>3622</v>
      </c>
      <c r="I998" s="1544" t="s">
        <v>494</v>
      </c>
      <c r="J998" s="1544" t="s">
        <v>3623</v>
      </c>
      <c r="K998" s="1544"/>
      <c r="L998" s="1544"/>
      <c r="M998" s="1544"/>
      <c r="N998" s="1544"/>
      <c r="O998" s="1544"/>
    </row>
    <row r="999" spans="8:15">
      <c r="H999" s="1543" t="s">
        <v>3624</v>
      </c>
      <c r="I999" s="1544" t="s">
        <v>494</v>
      </c>
      <c r="J999" s="1544" t="s">
        <v>3625</v>
      </c>
      <c r="K999" s="1544"/>
      <c r="L999" s="1544"/>
      <c r="M999" s="1544"/>
      <c r="N999" s="1544"/>
      <c r="O999" s="1544"/>
    </row>
    <row r="1000" spans="8:15">
      <c r="H1000" s="1543" t="s">
        <v>3626</v>
      </c>
      <c r="I1000" s="1544" t="s">
        <v>494</v>
      </c>
      <c r="J1000" s="1544" t="s">
        <v>3627</v>
      </c>
      <c r="K1000" s="1544"/>
      <c r="L1000" s="1544"/>
      <c r="M1000" s="1544"/>
      <c r="N1000" s="1544"/>
      <c r="O1000" s="1544"/>
    </row>
    <row r="1001" spans="8:15">
      <c r="H1001" s="1543" t="s">
        <v>3628</v>
      </c>
      <c r="I1001" s="1544" t="s">
        <v>494</v>
      </c>
      <c r="J1001" s="1544" t="s">
        <v>3629</v>
      </c>
      <c r="K1001" s="1544"/>
      <c r="L1001" s="1544"/>
      <c r="M1001" s="1544"/>
      <c r="N1001" s="1544"/>
      <c r="O1001" s="1544"/>
    </row>
    <row r="1002" spans="8:15">
      <c r="H1002" s="1543" t="s">
        <v>3630</v>
      </c>
      <c r="I1002" s="1544" t="s">
        <v>494</v>
      </c>
      <c r="J1002" s="1544" t="s">
        <v>3631</v>
      </c>
      <c r="K1002" s="1544"/>
      <c r="L1002" s="1544"/>
      <c r="M1002" s="1544"/>
      <c r="N1002" s="1544"/>
      <c r="O1002" s="1544"/>
    </row>
    <row r="1003" spans="8:15">
      <c r="H1003" s="1543" t="s">
        <v>3632</v>
      </c>
      <c r="I1003" s="1544" t="s">
        <v>494</v>
      </c>
      <c r="J1003" s="1544" t="s">
        <v>3633</v>
      </c>
      <c r="K1003" s="1544"/>
      <c r="L1003" s="1544"/>
      <c r="M1003" s="1544"/>
      <c r="N1003" s="1544"/>
      <c r="O1003" s="1544"/>
    </row>
    <row r="1004" spans="8:15">
      <c r="H1004" s="1543" t="s">
        <v>3634</v>
      </c>
      <c r="I1004" s="1544" t="s">
        <v>494</v>
      </c>
      <c r="J1004" s="1544" t="s">
        <v>3635</v>
      </c>
      <c r="K1004" s="1544"/>
      <c r="L1004" s="1544"/>
      <c r="M1004" s="1544"/>
      <c r="N1004" s="1544"/>
      <c r="O1004" s="1544"/>
    </row>
    <row r="1005" spans="8:15">
      <c r="H1005" s="1543" t="s">
        <v>3636</v>
      </c>
      <c r="I1005" s="1544" t="s">
        <v>494</v>
      </c>
      <c r="J1005" s="1544" t="s">
        <v>3637</v>
      </c>
      <c r="K1005" s="1544"/>
      <c r="L1005" s="1544"/>
      <c r="M1005" s="1544"/>
      <c r="N1005" s="1544"/>
      <c r="O1005" s="1544"/>
    </row>
    <row r="1006" spans="8:15">
      <c r="H1006" s="1543" t="s">
        <v>3638</v>
      </c>
      <c r="I1006" s="1544" t="s">
        <v>494</v>
      </c>
      <c r="J1006" s="1544" t="s">
        <v>3639</v>
      </c>
      <c r="K1006" s="1544"/>
      <c r="L1006" s="1544"/>
      <c r="M1006" s="1544"/>
      <c r="N1006" s="1544"/>
      <c r="O1006" s="1544"/>
    </row>
    <row r="1007" spans="8:15">
      <c r="H1007" s="1543" t="s">
        <v>3640</v>
      </c>
      <c r="I1007" s="1544" t="s">
        <v>494</v>
      </c>
      <c r="J1007" s="1544" t="s">
        <v>3641</v>
      </c>
      <c r="K1007" s="1544"/>
      <c r="L1007" s="1544"/>
      <c r="M1007" s="1544"/>
      <c r="N1007" s="1544"/>
      <c r="O1007" s="1544"/>
    </row>
    <row r="1008" spans="8:15">
      <c r="H1008" s="1543" t="s">
        <v>3642</v>
      </c>
      <c r="I1008" s="1544" t="s">
        <v>494</v>
      </c>
      <c r="J1008" s="1544" t="s">
        <v>3643</v>
      </c>
      <c r="K1008" s="1544"/>
      <c r="L1008" s="1544"/>
      <c r="M1008" s="1544"/>
      <c r="N1008" s="1544"/>
      <c r="O1008" s="1544"/>
    </row>
    <row r="1009" spans="8:15">
      <c r="H1009" s="1543" t="s">
        <v>3644</v>
      </c>
      <c r="I1009" s="1544" t="s">
        <v>494</v>
      </c>
      <c r="J1009" s="1544" t="s">
        <v>3645</v>
      </c>
      <c r="K1009" s="1544"/>
      <c r="L1009" s="1544"/>
      <c r="M1009" s="1544"/>
      <c r="N1009" s="1544"/>
      <c r="O1009" s="1544"/>
    </row>
    <row r="1010" spans="8:15">
      <c r="H1010" s="1543" t="s">
        <v>3646</v>
      </c>
      <c r="I1010" s="1544" t="s">
        <v>494</v>
      </c>
      <c r="J1010" s="1544" t="s">
        <v>3647</v>
      </c>
      <c r="K1010" s="1544"/>
      <c r="L1010" s="1544"/>
      <c r="M1010" s="1544"/>
      <c r="N1010" s="1544"/>
      <c r="O1010" s="1544"/>
    </row>
    <row r="1011" spans="8:15">
      <c r="H1011" s="1543" t="s">
        <v>3648</v>
      </c>
      <c r="I1011" s="1544" t="s">
        <v>494</v>
      </c>
      <c r="J1011" s="1544" t="s">
        <v>3649</v>
      </c>
      <c r="K1011" s="1544"/>
      <c r="L1011" s="1544"/>
      <c r="M1011" s="1544"/>
      <c r="N1011" s="1544"/>
      <c r="O1011" s="1544"/>
    </row>
    <row r="1012" spans="8:15">
      <c r="H1012" s="1543" t="s">
        <v>3650</v>
      </c>
      <c r="I1012" s="1544" t="s">
        <v>494</v>
      </c>
      <c r="J1012" s="1544" t="s">
        <v>3651</v>
      </c>
      <c r="K1012" s="1544"/>
      <c r="L1012" s="1544"/>
      <c r="M1012" s="1544"/>
      <c r="N1012" s="1544"/>
      <c r="O1012" s="1544"/>
    </row>
    <row r="1013" spans="8:15">
      <c r="H1013" s="1543" t="s">
        <v>3652</v>
      </c>
      <c r="I1013" s="1544" t="s">
        <v>494</v>
      </c>
      <c r="J1013" s="1544" t="s">
        <v>3653</v>
      </c>
      <c r="K1013" s="1544"/>
      <c r="L1013" s="1544"/>
      <c r="M1013" s="1544"/>
      <c r="N1013" s="1544"/>
      <c r="O1013" s="1544"/>
    </row>
    <row r="1014" spans="8:15">
      <c r="H1014" s="1543" t="s">
        <v>3654</v>
      </c>
      <c r="I1014" s="1544" t="s">
        <v>494</v>
      </c>
      <c r="J1014" s="1544" t="s">
        <v>3655</v>
      </c>
      <c r="K1014" s="1544"/>
      <c r="L1014" s="1544"/>
      <c r="M1014" s="1544"/>
      <c r="N1014" s="1544"/>
      <c r="O1014" s="1544"/>
    </row>
    <row r="1015" spans="8:15">
      <c r="H1015" s="1543" t="s">
        <v>3656</v>
      </c>
      <c r="I1015" s="1544" t="s">
        <v>494</v>
      </c>
      <c r="J1015" s="1544" t="s">
        <v>3657</v>
      </c>
      <c r="K1015" s="1544"/>
      <c r="L1015" s="1544"/>
      <c r="M1015" s="1544"/>
      <c r="N1015" s="1544"/>
      <c r="O1015" s="1544"/>
    </row>
    <row r="1016" spans="8:15">
      <c r="H1016" s="1543" t="s">
        <v>3658</v>
      </c>
      <c r="I1016" s="1544" t="s">
        <v>494</v>
      </c>
      <c r="J1016" s="1544" t="s">
        <v>3659</v>
      </c>
      <c r="K1016" s="1544"/>
      <c r="L1016" s="1544"/>
      <c r="M1016" s="1544"/>
      <c r="N1016" s="1544"/>
      <c r="O1016" s="1544"/>
    </row>
    <row r="1017" spans="8:15">
      <c r="H1017" s="1543" t="s">
        <v>3660</v>
      </c>
      <c r="I1017" s="1544" t="s">
        <v>494</v>
      </c>
      <c r="J1017" s="1544" t="s">
        <v>3661</v>
      </c>
      <c r="K1017" s="1544"/>
      <c r="L1017" s="1544"/>
      <c r="M1017" s="1544"/>
      <c r="N1017" s="1544"/>
      <c r="O1017" s="1544"/>
    </row>
    <row r="1018" spans="8:15">
      <c r="H1018" s="1543" t="s">
        <v>3662</v>
      </c>
      <c r="I1018" s="1544" t="s">
        <v>494</v>
      </c>
      <c r="J1018" s="1544" t="s">
        <v>3663</v>
      </c>
      <c r="K1018" s="1544"/>
      <c r="L1018" s="1544"/>
      <c r="M1018" s="1544"/>
      <c r="N1018" s="1544"/>
      <c r="O1018" s="1544"/>
    </row>
    <row r="1019" spans="8:15">
      <c r="H1019" s="1543" t="s">
        <v>3664</v>
      </c>
      <c r="I1019" s="1544" t="s">
        <v>494</v>
      </c>
      <c r="J1019" s="1544" t="s">
        <v>3665</v>
      </c>
      <c r="K1019" s="1544"/>
      <c r="L1019" s="1544"/>
      <c r="M1019" s="1544"/>
      <c r="N1019" s="1544"/>
      <c r="O1019" s="1544"/>
    </row>
    <row r="1020" spans="8:15">
      <c r="H1020" s="1543" t="s">
        <v>3666</v>
      </c>
      <c r="I1020" s="1544" t="s">
        <v>494</v>
      </c>
      <c r="J1020" s="1544" t="s">
        <v>3667</v>
      </c>
      <c r="K1020" s="1544"/>
      <c r="L1020" s="1544"/>
      <c r="M1020" s="1544"/>
      <c r="N1020" s="1544"/>
      <c r="O1020" s="1544"/>
    </row>
    <row r="1021" spans="8:15">
      <c r="H1021" s="1543" t="s">
        <v>3668</v>
      </c>
      <c r="I1021" s="1544" t="s">
        <v>494</v>
      </c>
      <c r="J1021" s="1544" t="s">
        <v>3669</v>
      </c>
      <c r="K1021" s="1544"/>
      <c r="L1021" s="1544"/>
      <c r="M1021" s="1544"/>
      <c r="N1021" s="1544"/>
      <c r="O1021" s="1544"/>
    </row>
    <row r="1022" spans="8:15">
      <c r="H1022" s="1543" t="s">
        <v>3670</v>
      </c>
      <c r="I1022" s="1544" t="s">
        <v>494</v>
      </c>
      <c r="J1022" s="1544" t="s">
        <v>3671</v>
      </c>
      <c r="K1022" s="1544"/>
      <c r="L1022" s="1544"/>
      <c r="M1022" s="1544"/>
      <c r="N1022" s="1544"/>
      <c r="O1022" s="1544"/>
    </row>
    <row r="1023" spans="8:15">
      <c r="H1023" s="1543" t="s">
        <v>3672</v>
      </c>
      <c r="I1023" s="1544" t="s">
        <v>494</v>
      </c>
      <c r="J1023" s="1544" t="s">
        <v>3673</v>
      </c>
      <c r="K1023" s="1544"/>
      <c r="L1023" s="1544"/>
      <c r="M1023" s="1544"/>
      <c r="N1023" s="1544"/>
      <c r="O1023" s="1544"/>
    </row>
    <row r="1024" spans="8:15">
      <c r="H1024" s="1543" t="s">
        <v>3674</v>
      </c>
      <c r="I1024" s="1544" t="s">
        <v>494</v>
      </c>
      <c r="J1024" s="1544" t="s">
        <v>3675</v>
      </c>
      <c r="K1024" s="1544"/>
      <c r="L1024" s="1544"/>
      <c r="M1024" s="1544"/>
      <c r="N1024" s="1544"/>
      <c r="O1024" s="1544"/>
    </row>
    <row r="1025" spans="8:15">
      <c r="H1025" s="1543" t="s">
        <v>3676</v>
      </c>
      <c r="I1025" s="1544" t="s">
        <v>494</v>
      </c>
      <c r="J1025" s="1544" t="s">
        <v>3677</v>
      </c>
      <c r="K1025" s="1544"/>
      <c r="L1025" s="1544"/>
      <c r="M1025" s="1544"/>
      <c r="N1025" s="1544"/>
      <c r="O1025" s="1544"/>
    </row>
    <row r="1026" spans="8:15">
      <c r="H1026" s="1543" t="s">
        <v>3678</v>
      </c>
      <c r="I1026" s="1544" t="s">
        <v>494</v>
      </c>
      <c r="J1026" s="1544" t="s">
        <v>3679</v>
      </c>
      <c r="K1026" s="1544"/>
      <c r="L1026" s="1544"/>
      <c r="M1026" s="1544"/>
      <c r="N1026" s="1544"/>
      <c r="O1026" s="1544"/>
    </row>
    <row r="1027" spans="8:15">
      <c r="H1027" s="1543" t="s">
        <v>3680</v>
      </c>
      <c r="I1027" s="1544" t="s">
        <v>494</v>
      </c>
      <c r="J1027" s="1544" t="s">
        <v>3681</v>
      </c>
      <c r="K1027" s="1544"/>
      <c r="L1027" s="1544"/>
      <c r="M1027" s="1544"/>
      <c r="N1027" s="1544"/>
      <c r="O1027" s="1544"/>
    </row>
    <row r="1028" spans="8:15">
      <c r="H1028" s="1543" t="s">
        <v>3682</v>
      </c>
      <c r="I1028" s="1544" t="s">
        <v>494</v>
      </c>
      <c r="J1028" s="1544" t="s">
        <v>3683</v>
      </c>
      <c r="K1028" s="1544"/>
      <c r="L1028" s="1544"/>
      <c r="M1028" s="1544"/>
      <c r="N1028" s="1544"/>
      <c r="O1028" s="1544"/>
    </row>
    <row r="1029" spans="8:15">
      <c r="H1029" s="1543" t="s">
        <v>3684</v>
      </c>
      <c r="I1029" s="1544" t="s">
        <v>494</v>
      </c>
      <c r="J1029" s="1544" t="s">
        <v>3685</v>
      </c>
      <c r="K1029" s="1544"/>
      <c r="L1029" s="1544"/>
      <c r="M1029" s="1544"/>
      <c r="N1029" s="1544"/>
      <c r="O1029" s="1544"/>
    </row>
    <row r="1030" spans="8:15">
      <c r="H1030" s="1543" t="s">
        <v>3686</v>
      </c>
      <c r="I1030" s="1544" t="s">
        <v>494</v>
      </c>
      <c r="J1030" s="1544" t="s">
        <v>3687</v>
      </c>
      <c r="K1030" s="1544"/>
      <c r="L1030" s="1544"/>
      <c r="M1030" s="1544"/>
      <c r="N1030" s="1544"/>
      <c r="O1030" s="1544"/>
    </row>
    <row r="1031" spans="8:15">
      <c r="H1031" s="1543" t="s">
        <v>3688</v>
      </c>
      <c r="I1031" s="1544" t="s">
        <v>494</v>
      </c>
      <c r="J1031" s="1544" t="s">
        <v>3689</v>
      </c>
      <c r="K1031" s="1544"/>
      <c r="L1031" s="1544"/>
      <c r="M1031" s="1544"/>
      <c r="N1031" s="1544"/>
      <c r="O1031" s="1544"/>
    </row>
    <row r="1032" spans="8:15">
      <c r="H1032" s="1543" t="s">
        <v>3690</v>
      </c>
      <c r="I1032" s="1544" t="s">
        <v>494</v>
      </c>
      <c r="J1032" s="1544" t="s">
        <v>3691</v>
      </c>
      <c r="K1032" s="1544"/>
      <c r="L1032" s="1544"/>
      <c r="M1032" s="1544"/>
      <c r="N1032" s="1544"/>
      <c r="O1032" s="1544"/>
    </row>
    <row r="1033" spans="8:15">
      <c r="H1033" s="1543" t="s">
        <v>3692</v>
      </c>
      <c r="I1033" s="1544" t="s">
        <v>494</v>
      </c>
      <c r="J1033" s="1544" t="s">
        <v>3693</v>
      </c>
      <c r="K1033" s="1544"/>
      <c r="L1033" s="1544"/>
      <c r="M1033" s="1544"/>
      <c r="N1033" s="1544"/>
      <c r="O1033" s="1544"/>
    </row>
    <row r="1034" spans="8:15">
      <c r="H1034" s="1543" t="s">
        <v>3694</v>
      </c>
      <c r="I1034" s="1544" t="s">
        <v>494</v>
      </c>
      <c r="J1034" s="1544" t="s">
        <v>3695</v>
      </c>
      <c r="K1034" s="1544"/>
      <c r="L1034" s="1544"/>
      <c r="M1034" s="1544"/>
      <c r="N1034" s="1544"/>
      <c r="O1034" s="1544"/>
    </row>
    <row r="1035" spans="8:15">
      <c r="H1035" s="1543" t="s">
        <v>3696</v>
      </c>
      <c r="I1035" s="1544" t="s">
        <v>494</v>
      </c>
      <c r="J1035" s="1544" t="s">
        <v>2361</v>
      </c>
      <c r="K1035" s="1544"/>
      <c r="L1035" s="1544"/>
      <c r="M1035" s="1544"/>
      <c r="N1035" s="1544"/>
      <c r="O1035" s="1544"/>
    </row>
    <row r="1036" spans="8:15">
      <c r="H1036" s="1543" t="s">
        <v>3697</v>
      </c>
      <c r="I1036" s="1544" t="s">
        <v>494</v>
      </c>
      <c r="J1036" s="1544" t="s">
        <v>3698</v>
      </c>
      <c r="K1036" s="1544"/>
      <c r="L1036" s="1544"/>
      <c r="M1036" s="1544"/>
      <c r="N1036" s="1544"/>
      <c r="O1036" s="1544"/>
    </row>
    <row r="1037" spans="8:15">
      <c r="H1037" s="1543" t="s">
        <v>3699</v>
      </c>
      <c r="I1037" s="1544" t="s">
        <v>494</v>
      </c>
      <c r="J1037" s="1544" t="s">
        <v>3700</v>
      </c>
      <c r="K1037" s="1544"/>
      <c r="L1037" s="1544"/>
      <c r="M1037" s="1544"/>
      <c r="N1037" s="1544"/>
      <c r="O1037" s="1544"/>
    </row>
    <row r="1038" spans="8:15">
      <c r="H1038" s="1543" t="s">
        <v>3701</v>
      </c>
      <c r="I1038" s="1544" t="s">
        <v>494</v>
      </c>
      <c r="J1038" s="1544" t="s">
        <v>3702</v>
      </c>
      <c r="K1038" s="1544"/>
      <c r="L1038" s="1544"/>
      <c r="M1038" s="1544"/>
      <c r="N1038" s="1544"/>
      <c r="O1038" s="1544"/>
    </row>
    <row r="1039" spans="8:15">
      <c r="H1039" s="1543" t="s">
        <v>3703</v>
      </c>
      <c r="I1039" s="1544" t="s">
        <v>494</v>
      </c>
      <c r="J1039" s="1544" t="s">
        <v>3704</v>
      </c>
      <c r="K1039" s="1544"/>
      <c r="L1039" s="1544"/>
      <c r="M1039" s="1544"/>
      <c r="N1039" s="1544"/>
      <c r="O1039" s="1544"/>
    </row>
    <row r="1040" spans="8:15">
      <c r="H1040" s="1543" t="s">
        <v>3705</v>
      </c>
      <c r="I1040" s="1544" t="s">
        <v>494</v>
      </c>
      <c r="J1040" s="1544" t="s">
        <v>3706</v>
      </c>
      <c r="K1040" s="1544"/>
      <c r="L1040" s="1544"/>
      <c r="M1040" s="1544"/>
      <c r="N1040" s="1544"/>
      <c r="O1040" s="1544"/>
    </row>
    <row r="1041" spans="8:15">
      <c r="H1041" s="1543" t="s">
        <v>3707</v>
      </c>
      <c r="I1041" s="1544" t="s">
        <v>494</v>
      </c>
      <c r="J1041" s="1544" t="s">
        <v>3009</v>
      </c>
      <c r="K1041" s="1544"/>
      <c r="L1041" s="1544"/>
      <c r="M1041" s="1544"/>
      <c r="N1041" s="1544"/>
      <c r="O1041" s="1544"/>
    </row>
    <row r="1042" spans="8:15">
      <c r="H1042" s="1543" t="s">
        <v>3708</v>
      </c>
      <c r="I1042" s="1544" t="s">
        <v>494</v>
      </c>
      <c r="J1042" s="1544" t="s">
        <v>3709</v>
      </c>
      <c r="K1042" s="1544"/>
      <c r="L1042" s="1544"/>
      <c r="M1042" s="1544"/>
      <c r="N1042" s="1544"/>
      <c r="O1042" s="1544"/>
    </row>
    <row r="1043" spans="8:15">
      <c r="H1043" s="1543" t="s">
        <v>3710</v>
      </c>
      <c r="I1043" s="1544" t="s">
        <v>494</v>
      </c>
      <c r="J1043" s="1544" t="s">
        <v>3711</v>
      </c>
      <c r="K1043" s="1544"/>
      <c r="L1043" s="1544"/>
      <c r="M1043" s="1544"/>
      <c r="N1043" s="1544"/>
      <c r="O1043" s="1544"/>
    </row>
    <row r="1044" spans="8:15">
      <c r="H1044" s="1543" t="s">
        <v>3712</v>
      </c>
      <c r="I1044" s="1544" t="s">
        <v>494</v>
      </c>
      <c r="J1044" s="1544" t="s">
        <v>3713</v>
      </c>
      <c r="K1044" s="1544"/>
      <c r="L1044" s="1544"/>
      <c r="M1044" s="1544"/>
      <c r="N1044" s="1544"/>
      <c r="O1044" s="1544"/>
    </row>
    <row r="1045" spans="8:15">
      <c r="H1045" s="1543" t="s">
        <v>3714</v>
      </c>
      <c r="I1045" s="1544" t="s">
        <v>494</v>
      </c>
      <c r="J1045" s="1544" t="s">
        <v>3715</v>
      </c>
      <c r="K1045" s="1544"/>
      <c r="L1045" s="1544"/>
      <c r="M1045" s="1544"/>
      <c r="N1045" s="1544"/>
      <c r="O1045" s="1544"/>
    </row>
    <row r="1046" spans="8:15">
      <c r="H1046" s="1543" t="s">
        <v>3716</v>
      </c>
      <c r="I1046" s="1544" t="s">
        <v>494</v>
      </c>
      <c r="J1046" s="1544" t="s">
        <v>3717</v>
      </c>
      <c r="K1046" s="1544"/>
      <c r="L1046" s="1544"/>
      <c r="M1046" s="1544"/>
      <c r="N1046" s="1544"/>
      <c r="O1046" s="1544"/>
    </row>
    <row r="1047" spans="8:15">
      <c r="H1047" s="1543" t="s">
        <v>3718</v>
      </c>
      <c r="I1047" s="1544" t="s">
        <v>494</v>
      </c>
      <c r="J1047" s="1544" t="s">
        <v>3719</v>
      </c>
      <c r="K1047" s="1544"/>
      <c r="L1047" s="1544"/>
      <c r="M1047" s="1544"/>
      <c r="N1047" s="1544"/>
      <c r="O1047" s="1544"/>
    </row>
    <row r="1048" spans="8:15">
      <c r="H1048" s="1543" t="s">
        <v>3720</v>
      </c>
      <c r="I1048" s="1544" t="s">
        <v>494</v>
      </c>
      <c r="J1048" s="1544" t="s">
        <v>3721</v>
      </c>
      <c r="K1048" s="1544"/>
      <c r="L1048" s="1544"/>
      <c r="M1048" s="1544"/>
      <c r="N1048" s="1544"/>
      <c r="O1048" s="1544"/>
    </row>
    <row r="1049" spans="8:15">
      <c r="H1049" s="1543" t="s">
        <v>3722</v>
      </c>
      <c r="I1049" s="1544" t="s">
        <v>495</v>
      </c>
      <c r="J1049" s="1544"/>
      <c r="K1049" s="1544">
        <f>ROW()</f>
        <v>1049</v>
      </c>
      <c r="L1049" s="1544">
        <f>K1049+COUNTIF($I$122:$I$1909,I1049)-1</f>
        <v>1091</v>
      </c>
      <c r="M1049" s="1544"/>
      <c r="N1049" s="1544"/>
      <c r="O1049" s="1544"/>
    </row>
    <row r="1050" spans="8:15">
      <c r="H1050" s="1543" t="s">
        <v>1307</v>
      </c>
      <c r="I1050" s="1544" t="s">
        <v>495</v>
      </c>
      <c r="J1050" s="1544" t="s">
        <v>1306</v>
      </c>
      <c r="K1050" s="1544"/>
      <c r="L1050" s="1544"/>
      <c r="M1050" s="1544"/>
      <c r="N1050" s="1544"/>
      <c r="O1050" s="1544"/>
    </row>
    <row r="1051" spans="8:15">
      <c r="H1051" s="1543" t="s">
        <v>3723</v>
      </c>
      <c r="I1051" s="1544" t="s">
        <v>495</v>
      </c>
      <c r="J1051" s="1544" t="s">
        <v>3724</v>
      </c>
      <c r="K1051" s="1544"/>
      <c r="L1051" s="1544"/>
      <c r="M1051" s="1544"/>
      <c r="N1051" s="1544"/>
      <c r="O1051" s="1544"/>
    </row>
    <row r="1052" spans="8:15">
      <c r="H1052" s="1543" t="s">
        <v>3725</v>
      </c>
      <c r="I1052" s="1544" t="s">
        <v>495</v>
      </c>
      <c r="J1052" s="1544" t="s">
        <v>3726</v>
      </c>
      <c r="K1052" s="1544"/>
      <c r="L1052" s="1544"/>
      <c r="M1052" s="1544"/>
      <c r="N1052" s="1544"/>
      <c r="O1052" s="1544"/>
    </row>
    <row r="1053" spans="8:15">
      <c r="H1053" s="1543" t="s">
        <v>3727</v>
      </c>
      <c r="I1053" s="1544" t="s">
        <v>495</v>
      </c>
      <c r="J1053" s="1544" t="s">
        <v>3728</v>
      </c>
      <c r="K1053" s="1544"/>
      <c r="L1053" s="1544"/>
      <c r="M1053" s="1544"/>
      <c r="N1053" s="1544"/>
      <c r="O1053" s="1544"/>
    </row>
    <row r="1054" spans="8:15">
      <c r="H1054" s="1543" t="s">
        <v>3729</v>
      </c>
      <c r="I1054" s="1544" t="s">
        <v>495</v>
      </c>
      <c r="J1054" s="1544" t="s">
        <v>3730</v>
      </c>
      <c r="K1054" s="1544"/>
      <c r="L1054" s="1544"/>
      <c r="M1054" s="1544"/>
      <c r="N1054" s="1544"/>
      <c r="O1054" s="1544"/>
    </row>
    <row r="1055" spans="8:15">
      <c r="H1055" s="1543" t="s">
        <v>3731</v>
      </c>
      <c r="I1055" s="1544" t="s">
        <v>495</v>
      </c>
      <c r="J1055" s="1544" t="s">
        <v>3732</v>
      </c>
      <c r="K1055" s="1544"/>
      <c r="L1055" s="1544"/>
      <c r="M1055" s="1544"/>
      <c r="N1055" s="1544"/>
      <c r="O1055" s="1544"/>
    </row>
    <row r="1056" spans="8:15">
      <c r="H1056" s="1543" t="s">
        <v>3733</v>
      </c>
      <c r="I1056" s="1544" t="s">
        <v>495</v>
      </c>
      <c r="J1056" s="1544" t="s">
        <v>3734</v>
      </c>
      <c r="K1056" s="1544"/>
      <c r="L1056" s="1544"/>
      <c r="M1056" s="1544"/>
      <c r="N1056" s="1544"/>
      <c r="O1056" s="1544"/>
    </row>
    <row r="1057" spans="8:15">
      <c r="H1057" s="1543" t="s">
        <v>3735</v>
      </c>
      <c r="I1057" s="1544" t="s">
        <v>495</v>
      </c>
      <c r="J1057" s="1544" t="s">
        <v>3736</v>
      </c>
      <c r="K1057" s="1544"/>
      <c r="L1057" s="1544"/>
      <c r="M1057" s="1544"/>
      <c r="N1057" s="1544"/>
      <c r="O1057" s="1544"/>
    </row>
    <row r="1058" spans="8:15">
      <c r="H1058" s="1543" t="s">
        <v>3737</v>
      </c>
      <c r="I1058" s="1544" t="s">
        <v>495</v>
      </c>
      <c r="J1058" s="1544" t="s">
        <v>3738</v>
      </c>
      <c r="K1058" s="1544"/>
      <c r="L1058" s="1544"/>
      <c r="M1058" s="1544"/>
      <c r="N1058" s="1544"/>
      <c r="O1058" s="1544"/>
    </row>
    <row r="1059" spans="8:15">
      <c r="H1059" s="1543" t="s">
        <v>3739</v>
      </c>
      <c r="I1059" s="1544" t="s">
        <v>495</v>
      </c>
      <c r="J1059" s="1544" t="s">
        <v>3740</v>
      </c>
      <c r="K1059" s="1544"/>
      <c r="L1059" s="1544"/>
      <c r="M1059" s="1544"/>
      <c r="N1059" s="1544"/>
      <c r="O1059" s="1544"/>
    </row>
    <row r="1060" spans="8:15">
      <c r="H1060" s="1543" t="s">
        <v>3741</v>
      </c>
      <c r="I1060" s="1544" t="s">
        <v>495</v>
      </c>
      <c r="J1060" s="1544" t="s">
        <v>3742</v>
      </c>
      <c r="K1060" s="1544"/>
      <c r="L1060" s="1544"/>
      <c r="M1060" s="1544"/>
      <c r="N1060" s="1544"/>
      <c r="O1060" s="1544"/>
    </row>
    <row r="1061" spans="8:15">
      <c r="H1061" s="1543" t="s">
        <v>3743</v>
      </c>
      <c r="I1061" s="1544" t="s">
        <v>495</v>
      </c>
      <c r="J1061" s="1544" t="s">
        <v>3744</v>
      </c>
      <c r="K1061" s="1544"/>
      <c r="L1061" s="1544"/>
      <c r="M1061" s="1544"/>
      <c r="N1061" s="1544"/>
      <c r="O1061" s="1544"/>
    </row>
    <row r="1062" spans="8:15">
      <c r="H1062" s="1543" t="s">
        <v>3745</v>
      </c>
      <c r="I1062" s="1544" t="s">
        <v>495</v>
      </c>
      <c r="J1062" s="1544" t="s">
        <v>3746</v>
      </c>
      <c r="K1062" s="1544"/>
      <c r="L1062" s="1544"/>
      <c r="M1062" s="1544"/>
      <c r="N1062" s="1544"/>
      <c r="O1062" s="1544"/>
    </row>
    <row r="1063" spans="8:15">
      <c r="H1063" s="1543" t="s">
        <v>3747</v>
      </c>
      <c r="I1063" s="1544" t="s">
        <v>495</v>
      </c>
      <c r="J1063" s="1544" t="s">
        <v>3748</v>
      </c>
      <c r="K1063" s="1544"/>
      <c r="L1063" s="1544"/>
      <c r="M1063" s="1544"/>
      <c r="N1063" s="1544"/>
      <c r="O1063" s="1544"/>
    </row>
    <row r="1064" spans="8:15">
      <c r="H1064" s="1543" t="s">
        <v>3749</v>
      </c>
      <c r="I1064" s="1544" t="s">
        <v>495</v>
      </c>
      <c r="J1064" s="1544" t="s">
        <v>3750</v>
      </c>
      <c r="K1064" s="1544"/>
      <c r="L1064" s="1544"/>
      <c r="M1064" s="1544"/>
      <c r="N1064" s="1544"/>
      <c r="O1064" s="1544"/>
    </row>
    <row r="1065" spans="8:15">
      <c r="H1065" s="1543" t="s">
        <v>3751</v>
      </c>
      <c r="I1065" s="1544" t="s">
        <v>495</v>
      </c>
      <c r="J1065" s="1544" t="s">
        <v>3752</v>
      </c>
      <c r="K1065" s="1544"/>
      <c r="L1065" s="1544"/>
      <c r="M1065" s="1544"/>
      <c r="N1065" s="1544"/>
      <c r="O1065" s="1544"/>
    </row>
    <row r="1066" spans="8:15">
      <c r="H1066" s="1543" t="s">
        <v>3753</v>
      </c>
      <c r="I1066" s="1544" t="s">
        <v>495</v>
      </c>
      <c r="J1066" s="1544" t="s">
        <v>3754</v>
      </c>
      <c r="K1066" s="1544"/>
      <c r="L1066" s="1544"/>
      <c r="M1066" s="1544"/>
      <c r="N1066" s="1544"/>
      <c r="O1066" s="1544"/>
    </row>
    <row r="1067" spans="8:15">
      <c r="H1067" s="1543" t="s">
        <v>3755</v>
      </c>
      <c r="I1067" s="1544" t="s">
        <v>495</v>
      </c>
      <c r="J1067" s="1544" t="s">
        <v>3756</v>
      </c>
      <c r="K1067" s="1544"/>
      <c r="L1067" s="1544"/>
      <c r="M1067" s="1544"/>
      <c r="N1067" s="1544"/>
      <c r="O1067" s="1544"/>
    </row>
    <row r="1068" spans="8:15">
      <c r="H1068" s="1543" t="s">
        <v>3757</v>
      </c>
      <c r="I1068" s="1544" t="s">
        <v>495</v>
      </c>
      <c r="J1068" s="1544" t="s">
        <v>3758</v>
      </c>
      <c r="K1068" s="1544"/>
      <c r="L1068" s="1544"/>
      <c r="M1068" s="1544"/>
      <c r="N1068" s="1544"/>
      <c r="O1068" s="1544"/>
    </row>
    <row r="1069" spans="8:15">
      <c r="H1069" s="1543" t="s">
        <v>3759</v>
      </c>
      <c r="I1069" s="1544" t="s">
        <v>495</v>
      </c>
      <c r="J1069" s="1544" t="s">
        <v>3760</v>
      </c>
      <c r="K1069" s="1544"/>
      <c r="L1069" s="1544"/>
      <c r="M1069" s="1544"/>
      <c r="N1069" s="1544"/>
      <c r="O1069" s="1544"/>
    </row>
    <row r="1070" spans="8:15">
      <c r="H1070" s="1543" t="s">
        <v>3761</v>
      </c>
      <c r="I1070" s="1544" t="s">
        <v>495</v>
      </c>
      <c r="J1070" s="1544" t="s">
        <v>3762</v>
      </c>
      <c r="K1070" s="1544"/>
      <c r="L1070" s="1544"/>
      <c r="M1070" s="1544"/>
      <c r="N1070" s="1544"/>
      <c r="O1070" s="1544"/>
    </row>
    <row r="1071" spans="8:15">
      <c r="H1071" s="1543" t="s">
        <v>3763</v>
      </c>
      <c r="I1071" s="1544" t="s">
        <v>495</v>
      </c>
      <c r="J1071" s="1544" t="s">
        <v>3764</v>
      </c>
      <c r="K1071" s="1544"/>
      <c r="L1071" s="1544"/>
      <c r="M1071" s="1544"/>
      <c r="N1071" s="1544"/>
      <c r="O1071" s="1544"/>
    </row>
    <row r="1072" spans="8:15">
      <c r="H1072" s="1543" t="s">
        <v>3765</v>
      </c>
      <c r="I1072" s="1544" t="s">
        <v>495</v>
      </c>
      <c r="J1072" s="1544" t="s">
        <v>3766</v>
      </c>
      <c r="K1072" s="1544"/>
      <c r="L1072" s="1544"/>
      <c r="M1072" s="1544"/>
      <c r="N1072" s="1544"/>
      <c r="O1072" s="1544"/>
    </row>
    <row r="1073" spans="8:15">
      <c r="H1073" s="1543" t="s">
        <v>3767</v>
      </c>
      <c r="I1073" s="1544" t="s">
        <v>495</v>
      </c>
      <c r="J1073" s="1544" t="s">
        <v>3768</v>
      </c>
      <c r="K1073" s="1544"/>
      <c r="L1073" s="1544"/>
      <c r="M1073" s="1544"/>
      <c r="N1073" s="1544"/>
      <c r="O1073" s="1544"/>
    </row>
    <row r="1074" spans="8:15">
      <c r="H1074" s="1543" t="s">
        <v>3769</v>
      </c>
      <c r="I1074" s="1544" t="s">
        <v>495</v>
      </c>
      <c r="J1074" s="1544" t="s">
        <v>3770</v>
      </c>
      <c r="K1074" s="1544"/>
      <c r="L1074" s="1544"/>
      <c r="M1074" s="1544"/>
      <c r="N1074" s="1544"/>
      <c r="O1074" s="1544"/>
    </row>
    <row r="1075" spans="8:15">
      <c r="H1075" s="1543" t="s">
        <v>3771</v>
      </c>
      <c r="I1075" s="1544" t="s">
        <v>495</v>
      </c>
      <c r="J1075" s="1544" t="s">
        <v>3772</v>
      </c>
      <c r="K1075" s="1544"/>
      <c r="L1075" s="1544"/>
      <c r="M1075" s="1544"/>
      <c r="N1075" s="1544"/>
      <c r="O1075" s="1544"/>
    </row>
    <row r="1076" spans="8:15">
      <c r="H1076" s="1543" t="s">
        <v>3773</v>
      </c>
      <c r="I1076" s="1544" t="s">
        <v>495</v>
      </c>
      <c r="J1076" s="1544" t="s">
        <v>3774</v>
      </c>
      <c r="K1076" s="1544"/>
      <c r="L1076" s="1544"/>
      <c r="M1076" s="1544"/>
      <c r="N1076" s="1544"/>
      <c r="O1076" s="1544"/>
    </row>
    <row r="1077" spans="8:15">
      <c r="H1077" s="1543" t="s">
        <v>3775</v>
      </c>
      <c r="I1077" s="1544" t="s">
        <v>495</v>
      </c>
      <c r="J1077" s="1544" t="s">
        <v>3776</v>
      </c>
      <c r="K1077" s="1544"/>
      <c r="L1077" s="1544"/>
      <c r="M1077" s="1544"/>
      <c r="N1077" s="1544"/>
      <c r="O1077" s="1544"/>
    </row>
    <row r="1078" spans="8:15">
      <c r="H1078" s="1543" t="s">
        <v>3777</v>
      </c>
      <c r="I1078" s="1544" t="s">
        <v>495</v>
      </c>
      <c r="J1078" s="1544" t="s">
        <v>3778</v>
      </c>
      <c r="K1078" s="1544"/>
      <c r="L1078" s="1544"/>
      <c r="M1078" s="1544"/>
      <c r="N1078" s="1544"/>
      <c r="O1078" s="1544"/>
    </row>
    <row r="1079" spans="8:15">
      <c r="H1079" s="1543" t="s">
        <v>3779</v>
      </c>
      <c r="I1079" s="1544" t="s">
        <v>495</v>
      </c>
      <c r="J1079" s="1544" t="s">
        <v>3780</v>
      </c>
      <c r="K1079" s="1544"/>
      <c r="L1079" s="1544"/>
      <c r="M1079" s="1544"/>
      <c r="N1079" s="1544"/>
      <c r="O1079" s="1544"/>
    </row>
    <row r="1080" spans="8:15">
      <c r="H1080" s="1543" t="s">
        <v>3781</v>
      </c>
      <c r="I1080" s="1544" t="s">
        <v>495</v>
      </c>
      <c r="J1080" s="1544" t="s">
        <v>3782</v>
      </c>
      <c r="K1080" s="1544"/>
      <c r="L1080" s="1544"/>
      <c r="M1080" s="1544"/>
      <c r="N1080" s="1544"/>
      <c r="O1080" s="1544"/>
    </row>
    <row r="1081" spans="8:15">
      <c r="H1081" s="1543" t="s">
        <v>3783</v>
      </c>
      <c r="I1081" s="1544" t="s">
        <v>495</v>
      </c>
      <c r="J1081" s="1544" t="s">
        <v>2361</v>
      </c>
      <c r="K1081" s="1544"/>
      <c r="L1081" s="1544"/>
      <c r="M1081" s="1544"/>
      <c r="N1081" s="1544"/>
      <c r="O1081" s="1544"/>
    </row>
    <row r="1082" spans="8:15">
      <c r="H1082" s="1543" t="s">
        <v>3784</v>
      </c>
      <c r="I1082" s="1544" t="s">
        <v>495</v>
      </c>
      <c r="J1082" s="1544" t="s">
        <v>3785</v>
      </c>
      <c r="K1082" s="1544"/>
      <c r="L1082" s="1544"/>
      <c r="M1082" s="1544"/>
      <c r="N1082" s="1544"/>
      <c r="O1082" s="1544"/>
    </row>
    <row r="1083" spans="8:15">
      <c r="H1083" s="1543" t="s">
        <v>3786</v>
      </c>
      <c r="I1083" s="1544" t="s">
        <v>495</v>
      </c>
      <c r="J1083" s="1544" t="s">
        <v>3787</v>
      </c>
      <c r="K1083" s="1544"/>
      <c r="L1083" s="1544"/>
      <c r="M1083" s="1544"/>
      <c r="N1083" s="1544"/>
      <c r="O1083" s="1544"/>
    </row>
    <row r="1084" spans="8:15">
      <c r="H1084" s="1543" t="s">
        <v>3788</v>
      </c>
      <c r="I1084" s="1544" t="s">
        <v>495</v>
      </c>
      <c r="J1084" s="1544" t="s">
        <v>3789</v>
      </c>
      <c r="K1084" s="1544"/>
      <c r="L1084" s="1544"/>
      <c r="M1084" s="1544"/>
      <c r="N1084" s="1544"/>
      <c r="O1084" s="1544"/>
    </row>
    <row r="1085" spans="8:15">
      <c r="H1085" s="1543" t="s">
        <v>3790</v>
      </c>
      <c r="I1085" s="1544" t="s">
        <v>495</v>
      </c>
      <c r="J1085" s="1544" t="s">
        <v>3791</v>
      </c>
      <c r="K1085" s="1544"/>
      <c r="L1085" s="1544"/>
      <c r="M1085" s="1544"/>
      <c r="N1085" s="1544"/>
      <c r="O1085" s="1544"/>
    </row>
    <row r="1086" spans="8:15">
      <c r="H1086" s="1543" t="s">
        <v>3792</v>
      </c>
      <c r="I1086" s="1544" t="s">
        <v>495</v>
      </c>
      <c r="J1086" s="1544" t="s">
        <v>3793</v>
      </c>
      <c r="K1086" s="1544"/>
      <c r="L1086" s="1544"/>
      <c r="M1086" s="1544"/>
      <c r="N1086" s="1544"/>
      <c r="O1086" s="1544"/>
    </row>
    <row r="1087" spans="8:15">
      <c r="H1087" s="1543" t="s">
        <v>3794</v>
      </c>
      <c r="I1087" s="1544" t="s">
        <v>495</v>
      </c>
      <c r="J1087" s="1544" t="s">
        <v>3795</v>
      </c>
      <c r="K1087" s="1544"/>
      <c r="L1087" s="1544"/>
      <c r="M1087" s="1544"/>
      <c r="N1087" s="1544"/>
      <c r="O1087" s="1544"/>
    </row>
    <row r="1088" spans="8:15">
      <c r="H1088" s="1543" t="s">
        <v>3796</v>
      </c>
      <c r="I1088" s="1544" t="s">
        <v>495</v>
      </c>
      <c r="J1088" s="1544" t="s">
        <v>3797</v>
      </c>
      <c r="K1088" s="1544"/>
      <c r="L1088" s="1544"/>
      <c r="M1088" s="1544"/>
      <c r="N1088" s="1544"/>
      <c r="O1088" s="1544"/>
    </row>
    <row r="1089" spans="8:15">
      <c r="H1089" s="1543" t="s">
        <v>3798</v>
      </c>
      <c r="I1089" s="1544" t="s">
        <v>495</v>
      </c>
      <c r="J1089" s="1544" t="s">
        <v>3799</v>
      </c>
      <c r="K1089" s="1544"/>
      <c r="L1089" s="1544"/>
      <c r="M1089" s="1544"/>
      <c r="N1089" s="1544"/>
      <c r="O1089" s="1544"/>
    </row>
    <row r="1090" spans="8:15">
      <c r="H1090" s="1543" t="s">
        <v>3800</v>
      </c>
      <c r="I1090" s="1544" t="s">
        <v>495</v>
      </c>
      <c r="J1090" s="1544" t="s">
        <v>3801</v>
      </c>
      <c r="K1090" s="1544"/>
      <c r="L1090" s="1544"/>
      <c r="M1090" s="1544"/>
      <c r="N1090" s="1544"/>
      <c r="O1090" s="1544"/>
    </row>
    <row r="1091" spans="8:15">
      <c r="H1091" s="1543" t="s">
        <v>3802</v>
      </c>
      <c r="I1091" s="1544" t="s">
        <v>495</v>
      </c>
      <c r="J1091" s="1544" t="s">
        <v>3803</v>
      </c>
      <c r="K1091" s="1544"/>
      <c r="L1091" s="1544"/>
      <c r="M1091" s="1544"/>
      <c r="N1091" s="1544"/>
      <c r="O1091" s="1544"/>
    </row>
    <row r="1092" spans="8:15">
      <c r="H1092" s="1543" t="s">
        <v>3804</v>
      </c>
      <c r="I1092" s="1544" t="s">
        <v>608</v>
      </c>
      <c r="J1092" s="1544"/>
      <c r="K1092" s="1544">
        <f>ROW()</f>
        <v>1092</v>
      </c>
      <c r="L1092" s="1544">
        <f>K1092+COUNTIF($I$122:$I$1909,I1092)-1</f>
        <v>1127</v>
      </c>
      <c r="M1092" s="1544"/>
      <c r="N1092" s="1544"/>
      <c r="O1092" s="1544"/>
    </row>
    <row r="1093" spans="8:15">
      <c r="H1093" s="1543" t="s">
        <v>1245</v>
      </c>
      <c r="I1093" s="1544" t="s">
        <v>608</v>
      </c>
      <c r="J1093" s="1544" t="s">
        <v>1244</v>
      </c>
      <c r="K1093" s="1544"/>
      <c r="L1093" s="1544"/>
      <c r="M1093" s="1544"/>
      <c r="N1093" s="1544"/>
      <c r="O1093" s="1544"/>
    </row>
    <row r="1094" spans="8:15">
      <c r="H1094" s="1543" t="s">
        <v>1247</v>
      </c>
      <c r="I1094" s="1544" t="s">
        <v>608</v>
      </c>
      <c r="J1094" s="1544" t="s">
        <v>1246</v>
      </c>
      <c r="K1094" s="1544"/>
      <c r="L1094" s="1544"/>
      <c r="M1094" s="1544"/>
      <c r="N1094" s="1544"/>
      <c r="O1094" s="1544"/>
    </row>
    <row r="1095" spans="8:15">
      <c r="H1095" s="1543" t="s">
        <v>1401</v>
      </c>
      <c r="I1095" s="1544" t="s">
        <v>608</v>
      </c>
      <c r="J1095" s="1544" t="s">
        <v>1400</v>
      </c>
      <c r="K1095" s="1544"/>
      <c r="L1095" s="1544"/>
      <c r="M1095" s="1544"/>
      <c r="N1095" s="1544"/>
      <c r="O1095" s="1544"/>
    </row>
    <row r="1096" spans="8:15">
      <c r="H1096" s="1543" t="s">
        <v>3805</v>
      </c>
      <c r="I1096" s="1544" t="s">
        <v>608</v>
      </c>
      <c r="J1096" s="1544" t="s">
        <v>3806</v>
      </c>
      <c r="K1096" s="1544"/>
      <c r="L1096" s="1544"/>
      <c r="M1096" s="1544"/>
      <c r="N1096" s="1544"/>
      <c r="O1096" s="1544"/>
    </row>
    <row r="1097" spans="8:15">
      <c r="H1097" s="1543" t="s">
        <v>3807</v>
      </c>
      <c r="I1097" s="1544" t="s">
        <v>608</v>
      </c>
      <c r="J1097" s="1544" t="s">
        <v>3808</v>
      </c>
      <c r="K1097" s="1544"/>
      <c r="L1097" s="1544"/>
      <c r="M1097" s="1544"/>
      <c r="N1097" s="1544"/>
      <c r="O1097" s="1544"/>
    </row>
    <row r="1098" spans="8:15">
      <c r="H1098" s="1543" t="s">
        <v>3809</v>
      </c>
      <c r="I1098" s="1544" t="s">
        <v>608</v>
      </c>
      <c r="J1098" s="1544" t="s">
        <v>3810</v>
      </c>
      <c r="K1098" s="1544"/>
      <c r="L1098" s="1544"/>
      <c r="M1098" s="1544"/>
      <c r="N1098" s="1544"/>
      <c r="O1098" s="1544"/>
    </row>
    <row r="1099" spans="8:15">
      <c r="H1099" s="1543" t="s">
        <v>3811</v>
      </c>
      <c r="I1099" s="1544" t="s">
        <v>608</v>
      </c>
      <c r="J1099" s="1544" t="s">
        <v>3812</v>
      </c>
      <c r="K1099" s="1544"/>
      <c r="L1099" s="1544"/>
      <c r="M1099" s="1544"/>
      <c r="N1099" s="1544"/>
      <c r="O1099" s="1544"/>
    </row>
    <row r="1100" spans="8:15">
      <c r="H1100" s="1543" t="s">
        <v>3813</v>
      </c>
      <c r="I1100" s="1544" t="s">
        <v>608</v>
      </c>
      <c r="J1100" s="1544" t="s">
        <v>3814</v>
      </c>
      <c r="K1100" s="1544"/>
      <c r="L1100" s="1544"/>
      <c r="M1100" s="1544"/>
      <c r="N1100" s="1544"/>
      <c r="O1100" s="1544"/>
    </row>
    <row r="1101" spans="8:15">
      <c r="H1101" s="1543" t="s">
        <v>1403</v>
      </c>
      <c r="I1101" s="1544" t="s">
        <v>608</v>
      </c>
      <c r="J1101" s="1544" t="s">
        <v>1402</v>
      </c>
      <c r="K1101" s="1544"/>
      <c r="L1101" s="1544"/>
      <c r="M1101" s="1544"/>
      <c r="N1101" s="1544"/>
      <c r="O1101" s="1544"/>
    </row>
    <row r="1102" spans="8:15">
      <c r="H1102" s="1543" t="s">
        <v>3815</v>
      </c>
      <c r="I1102" s="1544" t="s">
        <v>608</v>
      </c>
      <c r="J1102" s="1544" t="s">
        <v>3816</v>
      </c>
      <c r="K1102" s="1544"/>
      <c r="L1102" s="1544"/>
      <c r="M1102" s="1544"/>
      <c r="N1102" s="1544"/>
      <c r="O1102" s="1544"/>
    </row>
    <row r="1103" spans="8:15">
      <c r="H1103" s="1543" t="s">
        <v>3817</v>
      </c>
      <c r="I1103" s="1544" t="s">
        <v>608</v>
      </c>
      <c r="J1103" s="1544" t="s">
        <v>3818</v>
      </c>
      <c r="K1103" s="1544"/>
      <c r="L1103" s="1544"/>
      <c r="M1103" s="1544"/>
      <c r="N1103" s="1544"/>
      <c r="O1103" s="1544"/>
    </row>
    <row r="1104" spans="8:15">
      <c r="H1104" s="1543" t="s">
        <v>3819</v>
      </c>
      <c r="I1104" s="1544" t="s">
        <v>608</v>
      </c>
      <c r="J1104" s="1544" t="s">
        <v>3820</v>
      </c>
      <c r="K1104" s="1544"/>
      <c r="L1104" s="1544"/>
      <c r="M1104" s="1544"/>
      <c r="N1104" s="1544"/>
      <c r="O1104" s="1544"/>
    </row>
    <row r="1105" spans="8:15">
      <c r="H1105" s="1543" t="s">
        <v>3821</v>
      </c>
      <c r="I1105" s="1544" t="s">
        <v>608</v>
      </c>
      <c r="J1105" s="1544" t="s">
        <v>3822</v>
      </c>
      <c r="K1105" s="1544"/>
      <c r="L1105" s="1544"/>
      <c r="M1105" s="1544"/>
      <c r="N1105" s="1544"/>
      <c r="O1105" s="1544"/>
    </row>
    <row r="1106" spans="8:15">
      <c r="H1106" s="1543" t="s">
        <v>3823</v>
      </c>
      <c r="I1106" s="1544" t="s">
        <v>608</v>
      </c>
      <c r="J1106" s="1544" t="s">
        <v>3824</v>
      </c>
      <c r="K1106" s="1544"/>
      <c r="L1106" s="1544"/>
      <c r="M1106" s="1544"/>
      <c r="N1106" s="1544"/>
      <c r="O1106" s="1544"/>
    </row>
    <row r="1107" spans="8:15">
      <c r="H1107" s="1543" t="s">
        <v>3825</v>
      </c>
      <c r="I1107" s="1544" t="s">
        <v>608</v>
      </c>
      <c r="J1107" s="1544" t="s">
        <v>3826</v>
      </c>
      <c r="K1107" s="1544"/>
      <c r="L1107" s="1544"/>
      <c r="M1107" s="1544"/>
      <c r="N1107" s="1544"/>
      <c r="O1107" s="1544"/>
    </row>
    <row r="1108" spans="8:15">
      <c r="H1108" s="1543" t="s">
        <v>3827</v>
      </c>
      <c r="I1108" s="1544" t="s">
        <v>608</v>
      </c>
      <c r="J1108" s="1544" t="s">
        <v>3828</v>
      </c>
      <c r="K1108" s="1544"/>
      <c r="L1108" s="1544"/>
      <c r="M1108" s="1544"/>
      <c r="N1108" s="1544"/>
      <c r="O1108" s="1544"/>
    </row>
    <row r="1109" spans="8:15">
      <c r="H1109" s="1543" t="s">
        <v>3829</v>
      </c>
      <c r="I1109" s="1544" t="s">
        <v>608</v>
      </c>
      <c r="J1109" s="1544" t="s">
        <v>3830</v>
      </c>
      <c r="K1109" s="1544"/>
      <c r="L1109" s="1544"/>
      <c r="M1109" s="1544"/>
      <c r="N1109" s="1544"/>
      <c r="O1109" s="1544"/>
    </row>
    <row r="1110" spans="8:15">
      <c r="H1110" s="1543" t="s">
        <v>3831</v>
      </c>
      <c r="I1110" s="1544" t="s">
        <v>608</v>
      </c>
      <c r="J1110" s="1544" t="s">
        <v>3832</v>
      </c>
      <c r="K1110" s="1544"/>
      <c r="L1110" s="1544"/>
      <c r="M1110" s="1544"/>
      <c r="N1110" s="1544"/>
      <c r="O1110" s="1544"/>
    </row>
    <row r="1111" spans="8:15">
      <c r="H1111" s="1543" t="s">
        <v>3833</v>
      </c>
      <c r="I1111" s="1544" t="s">
        <v>608</v>
      </c>
      <c r="J1111" s="1544" t="s">
        <v>3834</v>
      </c>
      <c r="K1111" s="1544"/>
      <c r="L1111" s="1544"/>
      <c r="M1111" s="1544"/>
      <c r="N1111" s="1544"/>
      <c r="O1111" s="1544"/>
    </row>
    <row r="1112" spans="8:15">
      <c r="H1112" s="1543" t="s">
        <v>3835</v>
      </c>
      <c r="I1112" s="1544" t="s">
        <v>608</v>
      </c>
      <c r="J1112" s="1544" t="s">
        <v>3836</v>
      </c>
      <c r="K1112" s="1544"/>
      <c r="L1112" s="1544"/>
      <c r="M1112" s="1544"/>
      <c r="N1112" s="1544"/>
      <c r="O1112" s="1544"/>
    </row>
    <row r="1113" spans="8:15">
      <c r="H1113" s="1543" t="s">
        <v>3837</v>
      </c>
      <c r="I1113" s="1544" t="s">
        <v>608</v>
      </c>
      <c r="J1113" s="1544" t="s">
        <v>3838</v>
      </c>
      <c r="K1113" s="1544"/>
      <c r="L1113" s="1544"/>
      <c r="M1113" s="1544"/>
      <c r="N1113" s="1544"/>
      <c r="O1113" s="1544"/>
    </row>
    <row r="1114" spans="8:15">
      <c r="H1114" s="1543" t="s">
        <v>3839</v>
      </c>
      <c r="I1114" s="1544" t="s">
        <v>608</v>
      </c>
      <c r="J1114" s="1544" t="s">
        <v>3840</v>
      </c>
      <c r="K1114" s="1544"/>
      <c r="L1114" s="1544"/>
      <c r="M1114" s="1544"/>
      <c r="N1114" s="1544"/>
      <c r="O1114" s="1544"/>
    </row>
    <row r="1115" spans="8:15">
      <c r="H1115" s="1543" t="s">
        <v>3841</v>
      </c>
      <c r="I1115" s="1544" t="s">
        <v>608</v>
      </c>
      <c r="J1115" s="1544" t="s">
        <v>3842</v>
      </c>
      <c r="K1115" s="1544"/>
      <c r="L1115" s="1544"/>
      <c r="M1115" s="1544"/>
      <c r="N1115" s="1544"/>
      <c r="O1115" s="1544"/>
    </row>
    <row r="1116" spans="8:15">
      <c r="H1116" s="1543" t="s">
        <v>3843</v>
      </c>
      <c r="I1116" s="1544" t="s">
        <v>608</v>
      </c>
      <c r="J1116" s="1544" t="s">
        <v>3844</v>
      </c>
      <c r="K1116" s="1544"/>
      <c r="L1116" s="1544"/>
      <c r="M1116" s="1544"/>
      <c r="N1116" s="1544"/>
      <c r="O1116" s="1544"/>
    </row>
    <row r="1117" spans="8:15">
      <c r="H1117" s="1543" t="s">
        <v>3845</v>
      </c>
      <c r="I1117" s="1544" t="s">
        <v>608</v>
      </c>
      <c r="J1117" s="1544" t="s">
        <v>3846</v>
      </c>
      <c r="K1117" s="1544"/>
      <c r="L1117" s="1544"/>
      <c r="M1117" s="1544"/>
      <c r="N1117" s="1544"/>
      <c r="O1117" s="1544"/>
    </row>
    <row r="1118" spans="8:15">
      <c r="H1118" s="1543" t="s">
        <v>3847</v>
      </c>
      <c r="I1118" s="1544" t="s">
        <v>608</v>
      </c>
      <c r="J1118" s="1544" t="s">
        <v>3848</v>
      </c>
      <c r="K1118" s="1544"/>
      <c r="L1118" s="1544"/>
      <c r="M1118" s="1544"/>
      <c r="N1118" s="1544"/>
      <c r="O1118" s="1544"/>
    </row>
    <row r="1119" spans="8:15">
      <c r="H1119" s="1543" t="s">
        <v>3849</v>
      </c>
      <c r="I1119" s="1544" t="s">
        <v>608</v>
      </c>
      <c r="J1119" s="1544" t="s">
        <v>3850</v>
      </c>
      <c r="K1119" s="1544"/>
      <c r="L1119" s="1544"/>
      <c r="M1119" s="1544"/>
      <c r="N1119" s="1544"/>
      <c r="O1119" s="1544"/>
    </row>
    <row r="1120" spans="8:15">
      <c r="H1120" s="1543" t="s">
        <v>3851</v>
      </c>
      <c r="I1120" s="1544" t="s">
        <v>608</v>
      </c>
      <c r="J1120" s="1544" t="s">
        <v>3852</v>
      </c>
      <c r="K1120" s="1544"/>
      <c r="L1120" s="1544"/>
      <c r="M1120" s="1544"/>
      <c r="N1120" s="1544"/>
      <c r="O1120" s="1544"/>
    </row>
    <row r="1121" spans="8:15">
      <c r="H1121" s="1543" t="s">
        <v>3853</v>
      </c>
      <c r="I1121" s="1544" t="s">
        <v>608</v>
      </c>
      <c r="J1121" s="1544" t="s">
        <v>3854</v>
      </c>
      <c r="K1121" s="1544"/>
      <c r="L1121" s="1544"/>
      <c r="M1121" s="1544"/>
      <c r="N1121" s="1544"/>
      <c r="O1121" s="1544"/>
    </row>
    <row r="1122" spans="8:15">
      <c r="H1122" s="1543" t="s">
        <v>3855</v>
      </c>
      <c r="I1122" s="1544" t="s">
        <v>608</v>
      </c>
      <c r="J1122" s="1544" t="s">
        <v>2347</v>
      </c>
      <c r="K1122" s="1544"/>
      <c r="L1122" s="1544"/>
      <c r="M1122" s="1544"/>
      <c r="N1122" s="1544"/>
      <c r="O1122" s="1544"/>
    </row>
    <row r="1123" spans="8:15">
      <c r="H1123" s="1543" t="s">
        <v>3856</v>
      </c>
      <c r="I1123" s="1544" t="s">
        <v>608</v>
      </c>
      <c r="J1123" s="1544" t="s">
        <v>3857</v>
      </c>
      <c r="K1123" s="1544"/>
      <c r="L1123" s="1544"/>
      <c r="M1123" s="1544"/>
      <c r="N1123" s="1544"/>
      <c r="O1123" s="1544"/>
    </row>
    <row r="1124" spans="8:15">
      <c r="H1124" s="1543" t="s">
        <v>3858</v>
      </c>
      <c r="I1124" s="1544" t="s">
        <v>608</v>
      </c>
      <c r="J1124" s="1544" t="s">
        <v>3859</v>
      </c>
      <c r="K1124" s="1544"/>
      <c r="L1124" s="1544"/>
      <c r="M1124" s="1544"/>
      <c r="N1124" s="1544"/>
      <c r="O1124" s="1544"/>
    </row>
    <row r="1125" spans="8:15">
      <c r="H1125" s="1543" t="s">
        <v>3860</v>
      </c>
      <c r="I1125" s="1544" t="s">
        <v>608</v>
      </c>
      <c r="J1125" s="1544" t="s">
        <v>3861</v>
      </c>
      <c r="K1125" s="1544"/>
      <c r="L1125" s="1544"/>
      <c r="M1125" s="1544"/>
      <c r="N1125" s="1544"/>
      <c r="O1125" s="1544"/>
    </row>
    <row r="1126" spans="8:15">
      <c r="H1126" s="1543" t="s">
        <v>3862</v>
      </c>
      <c r="I1126" s="1544" t="s">
        <v>608</v>
      </c>
      <c r="J1126" s="1544" t="s">
        <v>3863</v>
      </c>
      <c r="K1126" s="1544"/>
      <c r="L1126" s="1544"/>
      <c r="M1126" s="1544"/>
      <c r="N1126" s="1544"/>
      <c r="O1126" s="1544"/>
    </row>
    <row r="1127" spans="8:15">
      <c r="H1127" s="1543" t="s">
        <v>3864</v>
      </c>
      <c r="I1127" s="1544" t="s">
        <v>608</v>
      </c>
      <c r="J1127" s="1544" t="s">
        <v>2118</v>
      </c>
      <c r="K1127" s="1544"/>
      <c r="L1127" s="1544"/>
      <c r="M1127" s="1544"/>
      <c r="N1127" s="1544"/>
      <c r="O1127" s="1544"/>
    </row>
    <row r="1128" spans="8:15">
      <c r="H1128" s="1543" t="s">
        <v>3865</v>
      </c>
      <c r="I1128" s="1544" t="s">
        <v>496</v>
      </c>
      <c r="J1128" s="1544"/>
      <c r="K1128" s="1544">
        <f>ROW()</f>
        <v>1128</v>
      </c>
      <c r="L1128" s="1544">
        <f>K1128+COUNTIF($I$122:$I$1909,I1128)-1</f>
        <v>1182</v>
      </c>
      <c r="M1128" s="1544"/>
      <c r="N1128" s="1544"/>
      <c r="O1128" s="1544"/>
    </row>
    <row r="1129" spans="8:15">
      <c r="H1129" s="1543" t="s">
        <v>1249</v>
      </c>
      <c r="I1129" s="1544" t="s">
        <v>496</v>
      </c>
      <c r="J1129" s="1544" t="s">
        <v>1248</v>
      </c>
      <c r="K1129" s="1544"/>
      <c r="L1129" s="1544"/>
      <c r="M1129" s="1544"/>
      <c r="N1129" s="1544"/>
      <c r="O1129" s="1544"/>
    </row>
    <row r="1130" spans="8:15">
      <c r="H1130" s="1543" t="s">
        <v>1309</v>
      </c>
      <c r="I1130" s="1544" t="s">
        <v>496</v>
      </c>
      <c r="J1130" s="1544" t="s">
        <v>1308</v>
      </c>
      <c r="K1130" s="1544"/>
      <c r="L1130" s="1544"/>
      <c r="M1130" s="1544"/>
      <c r="N1130" s="1544"/>
      <c r="O1130" s="1544"/>
    </row>
    <row r="1131" spans="8:15">
      <c r="H1131" s="1543" t="s">
        <v>1311</v>
      </c>
      <c r="I1131" s="1544" t="s">
        <v>496</v>
      </c>
      <c r="J1131" s="1544" t="s">
        <v>1310</v>
      </c>
      <c r="K1131" s="1544"/>
      <c r="L1131" s="1544"/>
      <c r="M1131" s="1544"/>
      <c r="N1131" s="1544"/>
      <c r="O1131" s="1544"/>
    </row>
    <row r="1132" spans="8:15">
      <c r="H1132" s="1543" t="s">
        <v>1405</v>
      </c>
      <c r="I1132" s="1544" t="s">
        <v>496</v>
      </c>
      <c r="J1132" s="1544" t="s">
        <v>1404</v>
      </c>
      <c r="K1132" s="1544"/>
      <c r="L1132" s="1544"/>
      <c r="M1132" s="1544"/>
      <c r="N1132" s="1544"/>
      <c r="O1132" s="1544"/>
    </row>
    <row r="1133" spans="8:15">
      <c r="H1133" s="1543" t="s">
        <v>3866</v>
      </c>
      <c r="I1133" s="1544" t="s">
        <v>496</v>
      </c>
      <c r="J1133" s="1544" t="s">
        <v>3867</v>
      </c>
      <c r="K1133" s="1544"/>
      <c r="L1133" s="1544"/>
      <c r="M1133" s="1544"/>
      <c r="N1133" s="1544"/>
      <c r="O1133" s="1544"/>
    </row>
    <row r="1134" spans="8:15">
      <c r="H1134" s="1543" t="s">
        <v>3868</v>
      </c>
      <c r="I1134" s="1544" t="s">
        <v>496</v>
      </c>
      <c r="J1134" s="1544" t="s">
        <v>3869</v>
      </c>
      <c r="K1134" s="1544"/>
      <c r="L1134" s="1544"/>
      <c r="M1134" s="1544"/>
      <c r="N1134" s="1544"/>
      <c r="O1134" s="1544"/>
    </row>
    <row r="1135" spans="8:15">
      <c r="H1135" s="1543" t="s">
        <v>1407</v>
      </c>
      <c r="I1135" s="1544" t="s">
        <v>496</v>
      </c>
      <c r="J1135" s="1544" t="s">
        <v>1406</v>
      </c>
      <c r="K1135" s="1544"/>
      <c r="L1135" s="1544"/>
      <c r="M1135" s="1544"/>
      <c r="N1135" s="1544"/>
      <c r="O1135" s="1544"/>
    </row>
    <row r="1136" spans="8:15">
      <c r="H1136" s="1543" t="s">
        <v>3870</v>
      </c>
      <c r="I1136" s="1544" t="s">
        <v>496</v>
      </c>
      <c r="J1136" s="1544" t="s">
        <v>3871</v>
      </c>
      <c r="K1136" s="1544"/>
      <c r="L1136" s="1544"/>
      <c r="M1136" s="1544"/>
      <c r="N1136" s="1544"/>
      <c r="O1136" s="1544"/>
    </row>
    <row r="1137" spans="8:15">
      <c r="H1137" s="1543" t="s">
        <v>3872</v>
      </c>
      <c r="I1137" s="1544" t="s">
        <v>496</v>
      </c>
      <c r="J1137" s="1544" t="s">
        <v>3873</v>
      </c>
      <c r="K1137" s="1544"/>
      <c r="L1137" s="1544"/>
      <c r="M1137" s="1544"/>
      <c r="N1137" s="1544"/>
      <c r="O1137" s="1544"/>
    </row>
    <row r="1138" spans="8:15">
      <c r="H1138" s="1543" t="s">
        <v>3874</v>
      </c>
      <c r="I1138" s="1544" t="s">
        <v>496</v>
      </c>
      <c r="J1138" s="1544" t="s">
        <v>3875</v>
      </c>
      <c r="K1138" s="1544"/>
      <c r="L1138" s="1544"/>
      <c r="M1138" s="1544"/>
      <c r="N1138" s="1544"/>
      <c r="O1138" s="1544"/>
    </row>
    <row r="1139" spans="8:15">
      <c r="H1139" s="1543" t="s">
        <v>3876</v>
      </c>
      <c r="I1139" s="1544" t="s">
        <v>496</v>
      </c>
      <c r="J1139" s="1544" t="s">
        <v>3877</v>
      </c>
      <c r="K1139" s="1544"/>
      <c r="L1139" s="1544"/>
      <c r="M1139" s="1544"/>
      <c r="N1139" s="1544"/>
      <c r="O1139" s="1544"/>
    </row>
    <row r="1140" spans="8:15">
      <c r="H1140" s="1543" t="s">
        <v>1313</v>
      </c>
      <c r="I1140" s="1544" t="s">
        <v>496</v>
      </c>
      <c r="J1140" s="1544" t="s">
        <v>1312</v>
      </c>
      <c r="K1140" s="1544"/>
      <c r="L1140" s="1544"/>
      <c r="M1140" s="1544"/>
      <c r="N1140" s="1544"/>
      <c r="O1140" s="1544"/>
    </row>
    <row r="1141" spans="8:15">
      <c r="H1141" s="1543" t="s">
        <v>3878</v>
      </c>
      <c r="I1141" s="1544" t="s">
        <v>496</v>
      </c>
      <c r="J1141" s="1544" t="s">
        <v>3879</v>
      </c>
      <c r="K1141" s="1544"/>
      <c r="L1141" s="1544"/>
      <c r="M1141" s="1544"/>
      <c r="N1141" s="1544"/>
      <c r="O1141" s="1544"/>
    </row>
    <row r="1142" spans="8:15">
      <c r="H1142" s="1543" t="s">
        <v>3880</v>
      </c>
      <c r="I1142" s="1544" t="s">
        <v>496</v>
      </c>
      <c r="J1142" s="1544" t="s">
        <v>3881</v>
      </c>
      <c r="K1142" s="1544"/>
      <c r="L1142" s="1544"/>
      <c r="M1142" s="1544"/>
      <c r="N1142" s="1544"/>
      <c r="O1142" s="1544"/>
    </row>
    <row r="1143" spans="8:15">
      <c r="H1143" s="1543" t="s">
        <v>3882</v>
      </c>
      <c r="I1143" s="1544" t="s">
        <v>496</v>
      </c>
      <c r="J1143" s="1544" t="s">
        <v>3883</v>
      </c>
      <c r="K1143" s="1544"/>
      <c r="L1143" s="1544"/>
      <c r="M1143" s="1544"/>
      <c r="N1143" s="1544"/>
      <c r="O1143" s="1544"/>
    </row>
    <row r="1144" spans="8:15">
      <c r="H1144" s="1543" t="s">
        <v>3884</v>
      </c>
      <c r="I1144" s="1544" t="s">
        <v>496</v>
      </c>
      <c r="J1144" s="1544" t="s">
        <v>3885</v>
      </c>
      <c r="K1144" s="1544"/>
      <c r="L1144" s="1544"/>
      <c r="M1144" s="1544"/>
      <c r="N1144" s="1544"/>
      <c r="O1144" s="1544"/>
    </row>
    <row r="1145" spans="8:15">
      <c r="H1145" s="1543" t="s">
        <v>3886</v>
      </c>
      <c r="I1145" s="1544" t="s">
        <v>496</v>
      </c>
      <c r="J1145" s="1544" t="s">
        <v>3887</v>
      </c>
      <c r="K1145" s="1544"/>
      <c r="L1145" s="1544"/>
      <c r="M1145" s="1544"/>
      <c r="N1145" s="1544"/>
      <c r="O1145" s="1544"/>
    </row>
    <row r="1146" spans="8:15">
      <c r="H1146" s="1543" t="s">
        <v>3888</v>
      </c>
      <c r="I1146" s="1544" t="s">
        <v>496</v>
      </c>
      <c r="J1146" s="1544" t="s">
        <v>3889</v>
      </c>
      <c r="K1146" s="1544"/>
      <c r="L1146" s="1544"/>
      <c r="M1146" s="1544"/>
      <c r="N1146" s="1544"/>
      <c r="O1146" s="1544"/>
    </row>
    <row r="1147" spans="8:15">
      <c r="H1147" s="1543" t="s">
        <v>3890</v>
      </c>
      <c r="I1147" s="1544" t="s">
        <v>496</v>
      </c>
      <c r="J1147" s="1544" t="s">
        <v>3891</v>
      </c>
      <c r="K1147" s="1544"/>
      <c r="L1147" s="1544"/>
      <c r="M1147" s="1544"/>
      <c r="N1147" s="1544"/>
      <c r="O1147" s="1544"/>
    </row>
    <row r="1148" spans="8:15">
      <c r="H1148" s="1543" t="s">
        <v>3892</v>
      </c>
      <c r="I1148" s="1544" t="s">
        <v>496</v>
      </c>
      <c r="J1148" s="1544" t="s">
        <v>3893</v>
      </c>
      <c r="K1148" s="1544"/>
      <c r="L1148" s="1544"/>
      <c r="M1148" s="1544"/>
      <c r="N1148" s="1544"/>
      <c r="O1148" s="1544"/>
    </row>
    <row r="1149" spans="8:15">
      <c r="H1149" s="1543" t="s">
        <v>3894</v>
      </c>
      <c r="I1149" s="1544" t="s">
        <v>496</v>
      </c>
      <c r="J1149" s="1544" t="s">
        <v>3895</v>
      </c>
      <c r="K1149" s="1544"/>
      <c r="L1149" s="1544"/>
      <c r="M1149" s="1544"/>
      <c r="N1149" s="1544"/>
      <c r="O1149" s="1544"/>
    </row>
    <row r="1150" spans="8:15">
      <c r="H1150" s="1543" t="s">
        <v>3896</v>
      </c>
      <c r="I1150" s="1544" t="s">
        <v>496</v>
      </c>
      <c r="J1150" s="1544" t="s">
        <v>3897</v>
      </c>
      <c r="K1150" s="1544"/>
      <c r="L1150" s="1544"/>
      <c r="M1150" s="1544"/>
      <c r="N1150" s="1544"/>
      <c r="O1150" s="1544"/>
    </row>
    <row r="1151" spans="8:15">
      <c r="H1151" s="1543" t="s">
        <v>3898</v>
      </c>
      <c r="I1151" s="1544" t="s">
        <v>496</v>
      </c>
      <c r="J1151" s="1544" t="s">
        <v>3899</v>
      </c>
      <c r="K1151" s="1544"/>
      <c r="L1151" s="1544"/>
      <c r="M1151" s="1544"/>
      <c r="N1151" s="1544"/>
      <c r="O1151" s="1544"/>
    </row>
    <row r="1152" spans="8:15">
      <c r="H1152" s="1543" t="s">
        <v>3900</v>
      </c>
      <c r="I1152" s="1544" t="s">
        <v>496</v>
      </c>
      <c r="J1152" s="1544" t="s">
        <v>3901</v>
      </c>
      <c r="K1152" s="1544"/>
      <c r="L1152" s="1544"/>
      <c r="M1152" s="1544"/>
      <c r="N1152" s="1544"/>
      <c r="O1152" s="1544"/>
    </row>
    <row r="1153" spans="8:15">
      <c r="H1153" s="1543" t="s">
        <v>3902</v>
      </c>
      <c r="I1153" s="1544" t="s">
        <v>496</v>
      </c>
      <c r="J1153" s="1544" t="s">
        <v>3903</v>
      </c>
      <c r="K1153" s="1544"/>
      <c r="L1153" s="1544"/>
      <c r="M1153" s="1544"/>
      <c r="N1153" s="1544"/>
      <c r="O1153" s="1544"/>
    </row>
    <row r="1154" spans="8:15">
      <c r="H1154" s="1543" t="s">
        <v>3904</v>
      </c>
      <c r="I1154" s="1544" t="s">
        <v>496</v>
      </c>
      <c r="J1154" s="1544" t="s">
        <v>3905</v>
      </c>
      <c r="K1154" s="1544"/>
      <c r="L1154" s="1544"/>
      <c r="M1154" s="1544"/>
      <c r="N1154" s="1544"/>
      <c r="O1154" s="1544"/>
    </row>
    <row r="1155" spans="8:15">
      <c r="H1155" s="1543" t="s">
        <v>3906</v>
      </c>
      <c r="I1155" s="1544" t="s">
        <v>496</v>
      </c>
      <c r="J1155" s="1544" t="s">
        <v>3907</v>
      </c>
      <c r="K1155" s="1544"/>
      <c r="L1155" s="1544"/>
      <c r="M1155" s="1544"/>
      <c r="N1155" s="1544"/>
      <c r="O1155" s="1544"/>
    </row>
    <row r="1156" spans="8:15">
      <c r="H1156" s="1543" t="s">
        <v>3908</v>
      </c>
      <c r="I1156" s="1544" t="s">
        <v>496</v>
      </c>
      <c r="J1156" s="1544" t="s">
        <v>3909</v>
      </c>
      <c r="K1156" s="1544"/>
      <c r="L1156" s="1544"/>
      <c r="M1156" s="1544"/>
      <c r="N1156" s="1544"/>
      <c r="O1156" s="1544"/>
    </row>
    <row r="1157" spans="8:15">
      <c r="H1157" s="1543" t="s">
        <v>3910</v>
      </c>
      <c r="I1157" s="1544" t="s">
        <v>496</v>
      </c>
      <c r="J1157" s="1544" t="s">
        <v>3911</v>
      </c>
      <c r="K1157" s="1544"/>
      <c r="L1157" s="1544"/>
      <c r="M1157" s="1544"/>
      <c r="N1157" s="1544"/>
      <c r="O1157" s="1544"/>
    </row>
    <row r="1158" spans="8:15">
      <c r="H1158" s="1543" t="s">
        <v>3912</v>
      </c>
      <c r="I1158" s="1544" t="s">
        <v>496</v>
      </c>
      <c r="J1158" s="1544" t="s">
        <v>3913</v>
      </c>
      <c r="K1158" s="1544"/>
      <c r="L1158" s="1544"/>
      <c r="M1158" s="1544"/>
      <c r="N1158" s="1544"/>
      <c r="O1158" s="1544"/>
    </row>
    <row r="1159" spans="8:15">
      <c r="H1159" s="1543" t="s">
        <v>3914</v>
      </c>
      <c r="I1159" s="1544" t="s">
        <v>496</v>
      </c>
      <c r="J1159" s="1544" t="s">
        <v>3915</v>
      </c>
      <c r="K1159" s="1544"/>
      <c r="L1159" s="1544"/>
      <c r="M1159" s="1544"/>
      <c r="N1159" s="1544"/>
      <c r="O1159" s="1544"/>
    </row>
    <row r="1160" spans="8:15">
      <c r="H1160" s="1543" t="s">
        <v>3916</v>
      </c>
      <c r="I1160" s="1544" t="s">
        <v>496</v>
      </c>
      <c r="J1160" s="1544" t="s">
        <v>3917</v>
      </c>
      <c r="K1160" s="1544"/>
      <c r="L1160" s="1544"/>
      <c r="M1160" s="1544"/>
      <c r="N1160" s="1544"/>
      <c r="O1160" s="1544"/>
    </row>
    <row r="1161" spans="8:15">
      <c r="H1161" s="1543" t="s">
        <v>3918</v>
      </c>
      <c r="I1161" s="1544" t="s">
        <v>496</v>
      </c>
      <c r="J1161" s="1544" t="s">
        <v>3919</v>
      </c>
      <c r="K1161" s="1544"/>
      <c r="L1161" s="1544"/>
      <c r="M1161" s="1544"/>
      <c r="N1161" s="1544"/>
      <c r="O1161" s="1544"/>
    </row>
    <row r="1162" spans="8:15">
      <c r="H1162" s="1543" t="s">
        <v>3920</v>
      </c>
      <c r="I1162" s="1544" t="s">
        <v>496</v>
      </c>
      <c r="J1162" s="1544" t="s">
        <v>3921</v>
      </c>
      <c r="K1162" s="1544"/>
      <c r="L1162" s="1544"/>
      <c r="M1162" s="1544"/>
      <c r="N1162" s="1544"/>
      <c r="O1162" s="1544"/>
    </row>
    <row r="1163" spans="8:15">
      <c r="H1163" s="1543" t="s">
        <v>3922</v>
      </c>
      <c r="I1163" s="1544" t="s">
        <v>496</v>
      </c>
      <c r="J1163" s="1544" t="s">
        <v>3923</v>
      </c>
      <c r="K1163" s="1544"/>
      <c r="L1163" s="1544"/>
      <c r="M1163" s="1544"/>
      <c r="N1163" s="1544"/>
      <c r="O1163" s="1544"/>
    </row>
    <row r="1164" spans="8:15">
      <c r="H1164" s="1543" t="s">
        <v>3924</v>
      </c>
      <c r="I1164" s="1544" t="s">
        <v>496</v>
      </c>
      <c r="J1164" s="1544" t="s">
        <v>3925</v>
      </c>
      <c r="K1164" s="1544"/>
      <c r="L1164" s="1544"/>
      <c r="M1164" s="1544"/>
      <c r="N1164" s="1544"/>
      <c r="O1164" s="1544"/>
    </row>
    <row r="1165" spans="8:15">
      <c r="H1165" s="1543" t="s">
        <v>3926</v>
      </c>
      <c r="I1165" s="1544" t="s">
        <v>496</v>
      </c>
      <c r="J1165" s="1544" t="s">
        <v>3927</v>
      </c>
      <c r="K1165" s="1544"/>
      <c r="L1165" s="1544"/>
      <c r="M1165" s="1544"/>
      <c r="N1165" s="1544"/>
      <c r="O1165" s="1544"/>
    </row>
    <row r="1166" spans="8:15">
      <c r="H1166" s="1543" t="s">
        <v>3928</v>
      </c>
      <c r="I1166" s="1544" t="s">
        <v>496</v>
      </c>
      <c r="J1166" s="1544" t="s">
        <v>3929</v>
      </c>
      <c r="K1166" s="1544"/>
      <c r="L1166" s="1544"/>
      <c r="M1166" s="1544"/>
      <c r="N1166" s="1544"/>
      <c r="O1166" s="1544"/>
    </row>
    <row r="1167" spans="8:15">
      <c r="H1167" s="1543" t="s">
        <v>3930</v>
      </c>
      <c r="I1167" s="1544" t="s">
        <v>496</v>
      </c>
      <c r="J1167" s="1544" t="s">
        <v>3931</v>
      </c>
      <c r="K1167" s="1544"/>
      <c r="L1167" s="1544"/>
      <c r="M1167" s="1544"/>
      <c r="N1167" s="1544"/>
      <c r="O1167" s="1544"/>
    </row>
    <row r="1168" spans="8:15">
      <c r="H1168" s="1543" t="s">
        <v>3932</v>
      </c>
      <c r="I1168" s="1544" t="s">
        <v>496</v>
      </c>
      <c r="J1168" s="1544" t="s">
        <v>3933</v>
      </c>
      <c r="K1168" s="1544"/>
      <c r="L1168" s="1544"/>
      <c r="M1168" s="1544"/>
      <c r="N1168" s="1544"/>
      <c r="O1168" s="1544"/>
    </row>
    <row r="1169" spans="8:15">
      <c r="H1169" s="1543" t="s">
        <v>3934</v>
      </c>
      <c r="I1169" s="1544" t="s">
        <v>496</v>
      </c>
      <c r="J1169" s="1544" t="s">
        <v>3935</v>
      </c>
      <c r="K1169" s="1544"/>
      <c r="L1169" s="1544"/>
      <c r="M1169" s="1544"/>
      <c r="N1169" s="1544"/>
      <c r="O1169" s="1544"/>
    </row>
    <row r="1170" spans="8:15">
      <c r="H1170" s="1543" t="s">
        <v>3936</v>
      </c>
      <c r="I1170" s="1544" t="s">
        <v>496</v>
      </c>
      <c r="J1170" s="1544" t="s">
        <v>3937</v>
      </c>
      <c r="K1170" s="1544"/>
      <c r="L1170" s="1544"/>
      <c r="M1170" s="1544"/>
      <c r="N1170" s="1544"/>
      <c r="O1170" s="1544"/>
    </row>
    <row r="1171" spans="8:15">
      <c r="H1171" s="1543" t="s">
        <v>3938</v>
      </c>
      <c r="I1171" s="1544" t="s">
        <v>496</v>
      </c>
      <c r="J1171" s="1544" t="s">
        <v>3939</v>
      </c>
      <c r="K1171" s="1544"/>
      <c r="L1171" s="1544"/>
      <c r="M1171" s="1544"/>
      <c r="N1171" s="1544"/>
      <c r="O1171" s="1544"/>
    </row>
    <row r="1172" spans="8:15">
      <c r="H1172" s="1543" t="s">
        <v>3940</v>
      </c>
      <c r="I1172" s="1544" t="s">
        <v>496</v>
      </c>
      <c r="J1172" s="1544" t="s">
        <v>3941</v>
      </c>
      <c r="K1172" s="1544"/>
      <c r="L1172" s="1544"/>
      <c r="M1172" s="1544"/>
      <c r="N1172" s="1544"/>
      <c r="O1172" s="1544"/>
    </row>
    <row r="1173" spans="8:15">
      <c r="H1173" s="1543" t="s">
        <v>3942</v>
      </c>
      <c r="I1173" s="1544" t="s">
        <v>496</v>
      </c>
      <c r="J1173" s="1544" t="s">
        <v>3943</v>
      </c>
      <c r="K1173" s="1544"/>
      <c r="L1173" s="1544"/>
      <c r="M1173" s="1544"/>
      <c r="N1173" s="1544"/>
      <c r="O1173" s="1544"/>
    </row>
    <row r="1174" spans="8:15">
      <c r="H1174" s="1543" t="s">
        <v>3944</v>
      </c>
      <c r="I1174" s="1544" t="s">
        <v>496</v>
      </c>
      <c r="J1174" s="1544" t="s">
        <v>3945</v>
      </c>
      <c r="K1174" s="1544"/>
      <c r="L1174" s="1544"/>
      <c r="M1174" s="1544"/>
      <c r="N1174" s="1544"/>
      <c r="O1174" s="1544"/>
    </row>
    <row r="1175" spans="8:15">
      <c r="H1175" s="1543" t="s">
        <v>3946</v>
      </c>
      <c r="I1175" s="1544" t="s">
        <v>496</v>
      </c>
      <c r="J1175" s="1544" t="s">
        <v>3947</v>
      </c>
      <c r="K1175" s="1544"/>
      <c r="L1175" s="1544"/>
      <c r="M1175" s="1544"/>
      <c r="N1175" s="1544"/>
      <c r="O1175" s="1544"/>
    </row>
    <row r="1176" spans="8:15">
      <c r="H1176" s="1543" t="s">
        <v>3948</v>
      </c>
      <c r="I1176" s="1544" t="s">
        <v>496</v>
      </c>
      <c r="J1176" s="1544" t="s">
        <v>3949</v>
      </c>
      <c r="K1176" s="1544"/>
      <c r="L1176" s="1544"/>
      <c r="M1176" s="1544"/>
      <c r="N1176" s="1544"/>
      <c r="O1176" s="1544"/>
    </row>
    <row r="1177" spans="8:15">
      <c r="H1177" s="1543" t="s">
        <v>3950</v>
      </c>
      <c r="I1177" s="1544" t="s">
        <v>496</v>
      </c>
      <c r="J1177" s="1544" t="s">
        <v>3515</v>
      </c>
      <c r="K1177" s="1544"/>
      <c r="L1177" s="1544"/>
      <c r="M1177" s="1544"/>
      <c r="N1177" s="1544"/>
      <c r="O1177" s="1544"/>
    </row>
    <row r="1178" spans="8:15">
      <c r="H1178" s="1543" t="s">
        <v>3951</v>
      </c>
      <c r="I1178" s="1544" t="s">
        <v>496</v>
      </c>
      <c r="J1178" s="1544" t="s">
        <v>3952</v>
      </c>
      <c r="K1178" s="1544"/>
      <c r="L1178" s="1544"/>
      <c r="M1178" s="1544"/>
      <c r="N1178" s="1544"/>
      <c r="O1178" s="1544"/>
    </row>
    <row r="1179" spans="8:15">
      <c r="H1179" s="1543" t="s">
        <v>3953</v>
      </c>
      <c r="I1179" s="1544" t="s">
        <v>496</v>
      </c>
      <c r="J1179" s="1544" t="s">
        <v>3954</v>
      </c>
      <c r="K1179" s="1544"/>
      <c r="L1179" s="1544"/>
      <c r="M1179" s="1544"/>
      <c r="N1179" s="1544"/>
      <c r="O1179" s="1544"/>
    </row>
    <row r="1180" spans="8:15">
      <c r="H1180" s="1543" t="s">
        <v>3955</v>
      </c>
      <c r="I1180" s="1544" t="s">
        <v>496</v>
      </c>
      <c r="J1180" s="1544" t="s">
        <v>3956</v>
      </c>
      <c r="K1180" s="1544"/>
      <c r="L1180" s="1544"/>
      <c r="M1180" s="1544"/>
      <c r="N1180" s="1544"/>
      <c r="O1180" s="1544"/>
    </row>
    <row r="1181" spans="8:15">
      <c r="H1181" s="1543" t="s">
        <v>3957</v>
      </c>
      <c r="I1181" s="1544" t="s">
        <v>496</v>
      </c>
      <c r="J1181" s="1544" t="s">
        <v>3958</v>
      </c>
      <c r="K1181" s="1544"/>
      <c r="L1181" s="1544"/>
      <c r="M1181" s="1544"/>
      <c r="N1181" s="1544"/>
      <c r="O1181" s="1544"/>
    </row>
    <row r="1182" spans="8:15">
      <c r="H1182" s="1543" t="s">
        <v>3959</v>
      </c>
      <c r="I1182" s="1544" t="s">
        <v>496</v>
      </c>
      <c r="J1182" s="1544" t="s">
        <v>3960</v>
      </c>
      <c r="K1182" s="1544"/>
      <c r="L1182" s="1544"/>
      <c r="M1182" s="1544"/>
      <c r="N1182" s="1544"/>
      <c r="O1182" s="1544"/>
    </row>
    <row r="1183" spans="8:15">
      <c r="H1183" s="1543" t="s">
        <v>3961</v>
      </c>
      <c r="I1183" s="1544" t="s">
        <v>609</v>
      </c>
      <c r="J1183" s="1544"/>
      <c r="K1183" s="1544">
        <f>ROW()</f>
        <v>1183</v>
      </c>
      <c r="L1183" s="1544">
        <f>K1183+COUNTIF($I$122:$I$1909,I1183)-1</f>
        <v>1212</v>
      </c>
      <c r="M1183" s="1544"/>
      <c r="N1183" s="1544"/>
      <c r="O1183" s="1544"/>
    </row>
    <row r="1184" spans="8:15">
      <c r="H1184" s="1543" t="s">
        <v>3962</v>
      </c>
      <c r="I1184" s="1544" t="s">
        <v>609</v>
      </c>
      <c r="J1184" s="1544" t="s">
        <v>3963</v>
      </c>
      <c r="K1184" s="1544"/>
      <c r="L1184" s="1544"/>
      <c r="M1184" s="1544"/>
      <c r="N1184" s="1544"/>
      <c r="O1184" s="1544"/>
    </row>
    <row r="1185" spans="8:15">
      <c r="H1185" s="1543" t="s">
        <v>1409</v>
      </c>
      <c r="I1185" s="1544" t="s">
        <v>609</v>
      </c>
      <c r="J1185" s="1544" t="s">
        <v>1408</v>
      </c>
      <c r="K1185" s="1544"/>
      <c r="L1185" s="1544"/>
      <c r="M1185" s="1544"/>
      <c r="N1185" s="1544"/>
      <c r="O1185" s="1544"/>
    </row>
    <row r="1186" spans="8:15">
      <c r="H1186" s="1543" t="s">
        <v>3964</v>
      </c>
      <c r="I1186" s="1544" t="s">
        <v>609</v>
      </c>
      <c r="J1186" s="1544" t="s">
        <v>3965</v>
      </c>
      <c r="K1186" s="1544"/>
      <c r="L1186" s="1544"/>
      <c r="M1186" s="1544"/>
      <c r="N1186" s="1544"/>
      <c r="O1186" s="1544"/>
    </row>
    <row r="1187" spans="8:15">
      <c r="H1187" s="1543" t="s">
        <v>3966</v>
      </c>
      <c r="I1187" s="1544" t="s">
        <v>609</v>
      </c>
      <c r="J1187" s="1544" t="s">
        <v>3967</v>
      </c>
      <c r="K1187" s="1544"/>
      <c r="L1187" s="1544"/>
      <c r="M1187" s="1544"/>
      <c r="N1187" s="1544"/>
      <c r="O1187" s="1544"/>
    </row>
    <row r="1188" spans="8:15">
      <c r="H1188" s="1543" t="s">
        <v>3968</v>
      </c>
      <c r="I1188" s="1544" t="s">
        <v>609</v>
      </c>
      <c r="J1188" s="1544" t="s">
        <v>3969</v>
      </c>
      <c r="K1188" s="1544"/>
      <c r="L1188" s="1544"/>
      <c r="M1188" s="1544"/>
      <c r="N1188" s="1544"/>
      <c r="O1188" s="1544"/>
    </row>
    <row r="1189" spans="8:15">
      <c r="H1189" s="1543" t="s">
        <v>3970</v>
      </c>
      <c r="I1189" s="1544" t="s">
        <v>609</v>
      </c>
      <c r="J1189" s="1544" t="s">
        <v>3971</v>
      </c>
      <c r="K1189" s="1544"/>
      <c r="L1189" s="1544"/>
      <c r="M1189" s="1544"/>
      <c r="N1189" s="1544"/>
      <c r="O1189" s="1544"/>
    </row>
    <row r="1190" spans="8:15">
      <c r="H1190" s="1543" t="s">
        <v>3972</v>
      </c>
      <c r="I1190" s="1544" t="s">
        <v>609</v>
      </c>
      <c r="J1190" s="1544" t="s">
        <v>3973</v>
      </c>
      <c r="K1190" s="1544"/>
      <c r="L1190" s="1544"/>
      <c r="M1190" s="1544"/>
      <c r="N1190" s="1544"/>
      <c r="O1190" s="1544"/>
    </row>
    <row r="1191" spans="8:15">
      <c r="H1191" s="1543" t="s">
        <v>3974</v>
      </c>
      <c r="I1191" s="1544" t="s">
        <v>609</v>
      </c>
      <c r="J1191" s="1544" t="s">
        <v>3975</v>
      </c>
      <c r="K1191" s="1544"/>
      <c r="L1191" s="1544"/>
      <c r="M1191" s="1544"/>
      <c r="N1191" s="1544"/>
      <c r="O1191" s="1544"/>
    </row>
    <row r="1192" spans="8:15">
      <c r="H1192" s="1543" t="s">
        <v>3976</v>
      </c>
      <c r="I1192" s="1544" t="s">
        <v>609</v>
      </c>
      <c r="J1192" s="1544" t="s">
        <v>3977</v>
      </c>
      <c r="K1192" s="1544"/>
      <c r="L1192" s="1544"/>
      <c r="M1192" s="1544"/>
      <c r="N1192" s="1544"/>
      <c r="O1192" s="1544"/>
    </row>
    <row r="1193" spans="8:15">
      <c r="H1193" s="1543" t="s">
        <v>3978</v>
      </c>
      <c r="I1193" s="1544" t="s">
        <v>609</v>
      </c>
      <c r="J1193" s="1544" t="s">
        <v>3979</v>
      </c>
      <c r="K1193" s="1544"/>
      <c r="L1193" s="1544"/>
      <c r="M1193" s="1544"/>
      <c r="N1193" s="1544"/>
      <c r="O1193" s="1544"/>
    </row>
    <row r="1194" spans="8:15">
      <c r="H1194" s="1543" t="s">
        <v>3980</v>
      </c>
      <c r="I1194" s="1544" t="s">
        <v>609</v>
      </c>
      <c r="J1194" s="1544" t="s">
        <v>3981</v>
      </c>
      <c r="K1194" s="1544"/>
      <c r="L1194" s="1544"/>
      <c r="M1194" s="1544"/>
      <c r="N1194" s="1544"/>
      <c r="O1194" s="1544"/>
    </row>
    <row r="1195" spans="8:15">
      <c r="H1195" s="1543" t="s">
        <v>3982</v>
      </c>
      <c r="I1195" s="1544" t="s">
        <v>609</v>
      </c>
      <c r="J1195" s="1544" t="s">
        <v>3983</v>
      </c>
      <c r="K1195" s="1544"/>
      <c r="L1195" s="1544"/>
      <c r="M1195" s="1544"/>
      <c r="N1195" s="1544"/>
      <c r="O1195" s="1544"/>
    </row>
    <row r="1196" spans="8:15">
      <c r="H1196" s="1543" t="s">
        <v>3984</v>
      </c>
      <c r="I1196" s="1544" t="s">
        <v>609</v>
      </c>
      <c r="J1196" s="1544" t="s">
        <v>3985</v>
      </c>
      <c r="K1196" s="1544"/>
      <c r="L1196" s="1544"/>
      <c r="M1196" s="1544"/>
      <c r="N1196" s="1544"/>
      <c r="O1196" s="1544"/>
    </row>
    <row r="1197" spans="8:15">
      <c r="H1197" s="1543" t="s">
        <v>3986</v>
      </c>
      <c r="I1197" s="1544" t="s">
        <v>609</v>
      </c>
      <c r="J1197" s="1544" t="s">
        <v>3987</v>
      </c>
      <c r="K1197" s="1544"/>
      <c r="L1197" s="1544"/>
      <c r="M1197" s="1544"/>
      <c r="N1197" s="1544"/>
      <c r="O1197" s="1544"/>
    </row>
    <row r="1198" spans="8:15">
      <c r="H1198" s="1543" t="s">
        <v>3988</v>
      </c>
      <c r="I1198" s="1544" t="s">
        <v>609</v>
      </c>
      <c r="J1198" s="1544" t="s">
        <v>3989</v>
      </c>
      <c r="K1198" s="1544"/>
      <c r="L1198" s="1544"/>
      <c r="M1198" s="1544"/>
      <c r="N1198" s="1544"/>
      <c r="O1198" s="1544"/>
    </row>
    <row r="1199" spans="8:15">
      <c r="H1199" s="1543" t="s">
        <v>3990</v>
      </c>
      <c r="I1199" s="1544" t="s">
        <v>609</v>
      </c>
      <c r="J1199" s="1544" t="s">
        <v>3991</v>
      </c>
      <c r="K1199" s="1544"/>
      <c r="L1199" s="1544"/>
      <c r="M1199" s="1544"/>
      <c r="N1199" s="1544"/>
      <c r="O1199" s="1544"/>
    </row>
    <row r="1200" spans="8:15">
      <c r="H1200" s="1543" t="s">
        <v>3992</v>
      </c>
      <c r="I1200" s="1544" t="s">
        <v>609</v>
      </c>
      <c r="J1200" s="1544" t="s">
        <v>3993</v>
      </c>
      <c r="K1200" s="1544"/>
      <c r="L1200" s="1544"/>
      <c r="M1200" s="1544"/>
      <c r="N1200" s="1544"/>
      <c r="O1200" s="1544"/>
    </row>
    <row r="1201" spans="8:15">
      <c r="H1201" s="1543" t="s">
        <v>3994</v>
      </c>
      <c r="I1201" s="1544" t="s">
        <v>609</v>
      </c>
      <c r="J1201" s="1544" t="s">
        <v>2688</v>
      </c>
      <c r="K1201" s="1544"/>
      <c r="L1201" s="1544"/>
      <c r="M1201" s="1544"/>
      <c r="N1201" s="1544"/>
      <c r="O1201" s="1544"/>
    </row>
    <row r="1202" spans="8:15">
      <c r="H1202" s="1543" t="s">
        <v>3995</v>
      </c>
      <c r="I1202" s="1544" t="s">
        <v>609</v>
      </c>
      <c r="J1202" s="1544" t="s">
        <v>3996</v>
      </c>
      <c r="K1202" s="1544"/>
      <c r="L1202" s="1544"/>
      <c r="M1202" s="1544"/>
      <c r="N1202" s="1544"/>
      <c r="O1202" s="1544"/>
    </row>
    <row r="1203" spans="8:15">
      <c r="H1203" s="1543" t="s">
        <v>3997</v>
      </c>
      <c r="I1203" s="1544" t="s">
        <v>609</v>
      </c>
      <c r="J1203" s="1544" t="s">
        <v>3998</v>
      </c>
      <c r="K1203" s="1544"/>
      <c r="L1203" s="1544"/>
      <c r="M1203" s="1544"/>
      <c r="N1203" s="1544"/>
      <c r="O1203" s="1544"/>
    </row>
    <row r="1204" spans="8:15">
      <c r="H1204" s="1543" t="s">
        <v>3999</v>
      </c>
      <c r="I1204" s="1544" t="s">
        <v>609</v>
      </c>
      <c r="J1204" s="1544" t="s">
        <v>3024</v>
      </c>
      <c r="K1204" s="1544"/>
      <c r="L1204" s="1544"/>
      <c r="M1204" s="1544"/>
      <c r="N1204" s="1544"/>
      <c r="O1204" s="1544"/>
    </row>
    <row r="1205" spans="8:15">
      <c r="H1205" s="1543" t="s">
        <v>4000</v>
      </c>
      <c r="I1205" s="1544" t="s">
        <v>609</v>
      </c>
      <c r="J1205" s="1544" t="s">
        <v>4001</v>
      </c>
      <c r="K1205" s="1544"/>
      <c r="L1205" s="1544"/>
      <c r="M1205" s="1544"/>
      <c r="N1205" s="1544"/>
      <c r="O1205" s="1544"/>
    </row>
    <row r="1206" spans="8:15">
      <c r="H1206" s="1543" t="s">
        <v>4002</v>
      </c>
      <c r="I1206" s="1544" t="s">
        <v>609</v>
      </c>
      <c r="J1206" s="1544" t="s">
        <v>4003</v>
      </c>
      <c r="K1206" s="1544"/>
      <c r="L1206" s="1544"/>
      <c r="M1206" s="1544"/>
      <c r="N1206" s="1544"/>
      <c r="O1206" s="1544"/>
    </row>
    <row r="1207" spans="8:15">
      <c r="H1207" s="1543" t="s">
        <v>4004</v>
      </c>
      <c r="I1207" s="1544" t="s">
        <v>609</v>
      </c>
      <c r="J1207" s="1544" t="s">
        <v>4005</v>
      </c>
      <c r="K1207" s="1544"/>
      <c r="L1207" s="1544"/>
      <c r="M1207" s="1544"/>
      <c r="N1207" s="1544"/>
      <c r="O1207" s="1544"/>
    </row>
    <row r="1208" spans="8:15">
      <c r="H1208" s="1543" t="s">
        <v>4006</v>
      </c>
      <c r="I1208" s="1544" t="s">
        <v>609</v>
      </c>
      <c r="J1208" s="1544" t="s">
        <v>4007</v>
      </c>
      <c r="K1208" s="1544"/>
      <c r="L1208" s="1544"/>
      <c r="M1208" s="1544"/>
      <c r="N1208" s="1544"/>
      <c r="O1208" s="1544"/>
    </row>
    <row r="1209" spans="8:15">
      <c r="H1209" s="1543" t="s">
        <v>4008</v>
      </c>
      <c r="I1209" s="1544" t="s">
        <v>609</v>
      </c>
      <c r="J1209" s="1544" t="s">
        <v>4009</v>
      </c>
      <c r="K1209" s="1544"/>
      <c r="L1209" s="1544"/>
      <c r="M1209" s="1544"/>
      <c r="N1209" s="1544"/>
      <c r="O1209" s="1544"/>
    </row>
    <row r="1210" spans="8:15">
      <c r="H1210" s="1543" t="s">
        <v>4010</v>
      </c>
      <c r="I1210" s="1544" t="s">
        <v>609</v>
      </c>
      <c r="J1210" s="1544" t="s">
        <v>4011</v>
      </c>
      <c r="K1210" s="1544"/>
      <c r="L1210" s="1544"/>
      <c r="M1210" s="1544"/>
      <c r="N1210" s="1544"/>
      <c r="O1210" s="1544"/>
    </row>
    <row r="1211" spans="8:15">
      <c r="H1211" s="1543" t="s">
        <v>4012</v>
      </c>
      <c r="I1211" s="1544" t="s">
        <v>609</v>
      </c>
      <c r="J1211" s="1544" t="s">
        <v>4013</v>
      </c>
      <c r="K1211" s="1544"/>
      <c r="L1211" s="1544"/>
      <c r="M1211" s="1544"/>
      <c r="N1211" s="1544"/>
      <c r="O1211" s="1544"/>
    </row>
    <row r="1212" spans="8:15">
      <c r="H1212" s="1543" t="s">
        <v>4014</v>
      </c>
      <c r="I1212" s="1544" t="s">
        <v>609</v>
      </c>
      <c r="J1212" s="1544" t="s">
        <v>4015</v>
      </c>
      <c r="K1212" s="1544"/>
      <c r="L1212" s="1544"/>
      <c r="M1212" s="1544"/>
      <c r="N1212" s="1544"/>
      <c r="O1212" s="1544"/>
    </row>
    <row r="1213" spans="8:15">
      <c r="H1213" s="1543" t="s">
        <v>4016</v>
      </c>
      <c r="I1213" s="1544" t="s">
        <v>497</v>
      </c>
      <c r="J1213" s="1544"/>
      <c r="K1213" s="1544">
        <f>ROW()</f>
        <v>1213</v>
      </c>
      <c r="L1213" s="1544">
        <f>K1213+COUNTIF($I$122:$I$1909,I1213)-1</f>
        <v>1232</v>
      </c>
      <c r="M1213" s="1544"/>
      <c r="N1213" s="1544"/>
      <c r="O1213" s="1544"/>
    </row>
    <row r="1214" spans="8:15">
      <c r="H1214" s="1543" t="s">
        <v>1315</v>
      </c>
      <c r="I1214" s="1544" t="s">
        <v>497</v>
      </c>
      <c r="J1214" s="1544" t="s">
        <v>1314</v>
      </c>
      <c r="K1214" s="1544"/>
      <c r="L1214" s="1544"/>
      <c r="M1214" s="1544"/>
      <c r="N1214" s="1544"/>
      <c r="O1214" s="1544"/>
    </row>
    <row r="1215" spans="8:15">
      <c r="H1215" s="1543" t="s">
        <v>4017</v>
      </c>
      <c r="I1215" s="1544" t="s">
        <v>497</v>
      </c>
      <c r="J1215" s="1544" t="s">
        <v>4018</v>
      </c>
      <c r="K1215" s="1544"/>
      <c r="L1215" s="1544"/>
      <c r="M1215" s="1544"/>
      <c r="N1215" s="1544"/>
      <c r="O1215" s="1544"/>
    </row>
    <row r="1216" spans="8:15">
      <c r="H1216" s="1543" t="s">
        <v>4019</v>
      </c>
      <c r="I1216" s="1544" t="s">
        <v>497</v>
      </c>
      <c r="J1216" s="1544" t="s">
        <v>4020</v>
      </c>
      <c r="K1216" s="1544"/>
      <c r="L1216" s="1544"/>
      <c r="M1216" s="1544"/>
      <c r="N1216" s="1544"/>
      <c r="O1216" s="1544"/>
    </row>
    <row r="1217" spans="8:15">
      <c r="H1217" s="1543" t="s">
        <v>4021</v>
      </c>
      <c r="I1217" s="1544" t="s">
        <v>497</v>
      </c>
      <c r="J1217" s="1544" t="s">
        <v>4022</v>
      </c>
      <c r="K1217" s="1544"/>
      <c r="L1217" s="1544"/>
      <c r="M1217" s="1544"/>
      <c r="N1217" s="1544"/>
      <c r="O1217" s="1544"/>
    </row>
    <row r="1218" spans="8:15">
      <c r="H1218" s="1543" t="s">
        <v>4023</v>
      </c>
      <c r="I1218" s="1544" t="s">
        <v>497</v>
      </c>
      <c r="J1218" s="1544" t="s">
        <v>4024</v>
      </c>
      <c r="K1218" s="1544"/>
      <c r="L1218" s="1544"/>
      <c r="M1218" s="1544"/>
      <c r="N1218" s="1544"/>
      <c r="O1218" s="1544"/>
    </row>
    <row r="1219" spans="8:15">
      <c r="H1219" s="1543" t="s">
        <v>4025</v>
      </c>
      <c r="I1219" s="1544" t="s">
        <v>497</v>
      </c>
      <c r="J1219" s="1544" t="s">
        <v>4026</v>
      </c>
      <c r="K1219" s="1544"/>
      <c r="L1219" s="1544"/>
      <c r="M1219" s="1544"/>
      <c r="N1219" s="1544"/>
      <c r="O1219" s="1544"/>
    </row>
    <row r="1220" spans="8:15">
      <c r="H1220" s="1543" t="s">
        <v>4027</v>
      </c>
      <c r="I1220" s="1544" t="s">
        <v>497</v>
      </c>
      <c r="J1220" s="1544" t="s">
        <v>4028</v>
      </c>
      <c r="K1220" s="1544"/>
      <c r="L1220" s="1544"/>
      <c r="M1220" s="1544"/>
      <c r="N1220" s="1544"/>
      <c r="O1220" s="1544"/>
    </row>
    <row r="1221" spans="8:15">
      <c r="H1221" s="1543" t="s">
        <v>4029</v>
      </c>
      <c r="I1221" s="1544" t="s">
        <v>497</v>
      </c>
      <c r="J1221" s="1544" t="s">
        <v>4030</v>
      </c>
      <c r="K1221" s="1544"/>
      <c r="L1221" s="1544"/>
      <c r="M1221" s="1544"/>
      <c r="N1221" s="1544"/>
      <c r="O1221" s="1544"/>
    </row>
    <row r="1222" spans="8:15">
      <c r="H1222" s="1543" t="s">
        <v>4031</v>
      </c>
      <c r="I1222" s="1544" t="s">
        <v>497</v>
      </c>
      <c r="J1222" s="1544" t="s">
        <v>4032</v>
      </c>
      <c r="K1222" s="1544"/>
      <c r="L1222" s="1544"/>
      <c r="M1222" s="1544"/>
      <c r="N1222" s="1544"/>
      <c r="O1222" s="1544"/>
    </row>
    <row r="1223" spans="8:15">
      <c r="H1223" s="1543" t="s">
        <v>4033</v>
      </c>
      <c r="I1223" s="1544" t="s">
        <v>497</v>
      </c>
      <c r="J1223" s="1544" t="s">
        <v>4034</v>
      </c>
      <c r="K1223" s="1544"/>
      <c r="L1223" s="1544"/>
      <c r="M1223" s="1544"/>
      <c r="N1223" s="1544"/>
      <c r="O1223" s="1544"/>
    </row>
    <row r="1224" spans="8:15">
      <c r="H1224" s="1543" t="s">
        <v>4035</v>
      </c>
      <c r="I1224" s="1544" t="s">
        <v>497</v>
      </c>
      <c r="J1224" s="1544" t="s">
        <v>4036</v>
      </c>
      <c r="K1224" s="1544"/>
      <c r="L1224" s="1544"/>
      <c r="M1224" s="1544"/>
      <c r="N1224" s="1544"/>
      <c r="O1224" s="1544"/>
    </row>
    <row r="1225" spans="8:15">
      <c r="H1225" s="1543" t="s">
        <v>4037</v>
      </c>
      <c r="I1225" s="1544" t="s">
        <v>497</v>
      </c>
      <c r="J1225" s="1544" t="s">
        <v>4038</v>
      </c>
      <c r="K1225" s="1544"/>
      <c r="L1225" s="1544"/>
      <c r="M1225" s="1544"/>
      <c r="N1225" s="1544"/>
      <c r="O1225" s="1544"/>
    </row>
    <row r="1226" spans="8:15">
      <c r="H1226" s="1543" t="s">
        <v>4039</v>
      </c>
      <c r="I1226" s="1544" t="s">
        <v>497</v>
      </c>
      <c r="J1226" s="1544" t="s">
        <v>4040</v>
      </c>
      <c r="K1226" s="1544"/>
      <c r="L1226" s="1544"/>
      <c r="M1226" s="1544"/>
      <c r="N1226" s="1544"/>
      <c r="O1226" s="1544"/>
    </row>
    <row r="1227" spans="8:15">
      <c r="H1227" s="1543" t="s">
        <v>4041</v>
      </c>
      <c r="I1227" s="1544" t="s">
        <v>497</v>
      </c>
      <c r="J1227" s="1544" t="s">
        <v>4042</v>
      </c>
      <c r="K1227" s="1544"/>
      <c r="L1227" s="1544"/>
      <c r="M1227" s="1544"/>
      <c r="N1227" s="1544"/>
      <c r="O1227" s="1544"/>
    </row>
    <row r="1228" spans="8:15">
      <c r="H1228" s="1543" t="s">
        <v>4043</v>
      </c>
      <c r="I1228" s="1544" t="s">
        <v>497</v>
      </c>
      <c r="J1228" s="1544" t="s">
        <v>4044</v>
      </c>
      <c r="K1228" s="1544"/>
      <c r="L1228" s="1544"/>
      <c r="M1228" s="1544"/>
      <c r="N1228" s="1544"/>
      <c r="O1228" s="1544"/>
    </row>
    <row r="1229" spans="8:15">
      <c r="H1229" s="1543" t="s">
        <v>4045</v>
      </c>
      <c r="I1229" s="1544" t="s">
        <v>497</v>
      </c>
      <c r="J1229" s="1544" t="s">
        <v>4046</v>
      </c>
      <c r="K1229" s="1544"/>
      <c r="L1229" s="1544"/>
      <c r="M1229" s="1544"/>
      <c r="N1229" s="1544"/>
      <c r="O1229" s="1544"/>
    </row>
    <row r="1230" spans="8:15">
      <c r="H1230" s="1543" t="s">
        <v>4047</v>
      </c>
      <c r="I1230" s="1544" t="s">
        <v>497</v>
      </c>
      <c r="J1230" s="1544" t="s">
        <v>4048</v>
      </c>
      <c r="K1230" s="1544"/>
      <c r="L1230" s="1544"/>
      <c r="M1230" s="1544"/>
      <c r="N1230" s="1544"/>
      <c r="O1230" s="1544"/>
    </row>
    <row r="1231" spans="8:15">
      <c r="H1231" s="1543" t="s">
        <v>4049</v>
      </c>
      <c r="I1231" s="1544" t="s">
        <v>497</v>
      </c>
      <c r="J1231" s="1544" t="s">
        <v>4050</v>
      </c>
      <c r="K1231" s="1544"/>
      <c r="L1231" s="1544"/>
      <c r="M1231" s="1544"/>
      <c r="N1231" s="1544"/>
      <c r="O1231" s="1544"/>
    </row>
    <row r="1232" spans="8:15">
      <c r="H1232" s="1543" t="s">
        <v>4051</v>
      </c>
      <c r="I1232" s="1544" t="s">
        <v>497</v>
      </c>
      <c r="J1232" s="1544" t="s">
        <v>4052</v>
      </c>
      <c r="K1232" s="1544"/>
      <c r="L1232" s="1544"/>
      <c r="M1232" s="1544"/>
      <c r="N1232" s="1544"/>
      <c r="O1232" s="1544"/>
    </row>
    <row r="1233" spans="8:15">
      <c r="H1233" s="1543" t="s">
        <v>4053</v>
      </c>
      <c r="I1233" s="1544" t="s">
        <v>2061</v>
      </c>
      <c r="J1233" s="1544"/>
      <c r="K1233" s="1544">
        <f>ROW()</f>
        <v>1233</v>
      </c>
      <c r="L1233" s="1544">
        <f>K1233+COUNTIF($I$122:$I$1909,I1233)-1</f>
        <v>1259</v>
      </c>
      <c r="M1233" s="1544"/>
      <c r="N1233" s="1544"/>
      <c r="O1233" s="1544"/>
    </row>
    <row r="1234" spans="8:15">
      <c r="H1234" s="1543" t="s">
        <v>1251</v>
      </c>
      <c r="I1234" s="1544" t="s">
        <v>2061</v>
      </c>
      <c r="J1234" s="1544" t="s">
        <v>1250</v>
      </c>
      <c r="K1234" s="1544"/>
      <c r="L1234" s="1544"/>
      <c r="M1234" s="1544"/>
      <c r="N1234" s="1544"/>
      <c r="O1234" s="1544"/>
    </row>
    <row r="1235" spans="8:15">
      <c r="H1235" s="1543" t="s">
        <v>4054</v>
      </c>
      <c r="I1235" s="1544" t="s">
        <v>2061</v>
      </c>
      <c r="J1235" s="1544" t="s">
        <v>4055</v>
      </c>
      <c r="K1235" s="1544"/>
      <c r="L1235" s="1544"/>
      <c r="M1235" s="1544"/>
      <c r="N1235" s="1544"/>
      <c r="O1235" s="1544"/>
    </row>
    <row r="1236" spans="8:15">
      <c r="H1236" s="1543" t="s">
        <v>4056</v>
      </c>
      <c r="I1236" s="1544" t="s">
        <v>2061</v>
      </c>
      <c r="J1236" s="1544" t="s">
        <v>4057</v>
      </c>
      <c r="K1236" s="1544"/>
      <c r="L1236" s="1544"/>
      <c r="M1236" s="1544"/>
      <c r="N1236" s="1544"/>
      <c r="O1236" s="1544"/>
    </row>
    <row r="1237" spans="8:15">
      <c r="H1237" s="1543" t="s">
        <v>4058</v>
      </c>
      <c r="I1237" s="1544" t="s">
        <v>2061</v>
      </c>
      <c r="J1237" s="1544" t="s">
        <v>4059</v>
      </c>
      <c r="K1237" s="1544"/>
      <c r="L1237" s="1544"/>
      <c r="M1237" s="1544"/>
      <c r="N1237" s="1544"/>
      <c r="O1237" s="1544"/>
    </row>
    <row r="1238" spans="8:15">
      <c r="H1238" s="1543" t="s">
        <v>4060</v>
      </c>
      <c r="I1238" s="1544" t="s">
        <v>2061</v>
      </c>
      <c r="J1238" s="1544" t="s">
        <v>4061</v>
      </c>
      <c r="K1238" s="1544"/>
      <c r="L1238" s="1544"/>
      <c r="M1238" s="1544"/>
      <c r="N1238" s="1544"/>
      <c r="O1238" s="1544"/>
    </row>
    <row r="1239" spans="8:15">
      <c r="H1239" s="1543" t="s">
        <v>4062</v>
      </c>
      <c r="I1239" s="1544" t="s">
        <v>2061</v>
      </c>
      <c r="J1239" s="1544" t="s">
        <v>4063</v>
      </c>
      <c r="K1239" s="1544"/>
      <c r="L1239" s="1544"/>
      <c r="M1239" s="1544"/>
      <c r="N1239" s="1544"/>
      <c r="O1239" s="1544"/>
    </row>
    <row r="1240" spans="8:15">
      <c r="H1240" s="1543" t="s">
        <v>4064</v>
      </c>
      <c r="I1240" s="1544" t="s">
        <v>2061</v>
      </c>
      <c r="J1240" s="1544" t="s">
        <v>4065</v>
      </c>
      <c r="K1240" s="1544"/>
      <c r="L1240" s="1544"/>
      <c r="M1240" s="1544"/>
      <c r="N1240" s="1544"/>
      <c r="O1240" s="1544"/>
    </row>
    <row r="1241" spans="8:15">
      <c r="H1241" s="1543" t="s">
        <v>4066</v>
      </c>
      <c r="I1241" s="1544" t="s">
        <v>2061</v>
      </c>
      <c r="J1241" s="1544" t="s">
        <v>4067</v>
      </c>
      <c r="K1241" s="1544"/>
      <c r="L1241" s="1544"/>
      <c r="M1241" s="1544"/>
      <c r="N1241" s="1544"/>
      <c r="O1241" s="1544"/>
    </row>
    <row r="1242" spans="8:15">
      <c r="H1242" s="1543" t="s">
        <v>4068</v>
      </c>
      <c r="I1242" s="1544" t="s">
        <v>2061</v>
      </c>
      <c r="J1242" s="1544" t="s">
        <v>4069</v>
      </c>
      <c r="K1242" s="1544"/>
      <c r="L1242" s="1544"/>
      <c r="M1242" s="1544"/>
      <c r="N1242" s="1544"/>
      <c r="O1242" s="1544"/>
    </row>
    <row r="1243" spans="8:15">
      <c r="H1243" s="1543" t="s">
        <v>4070</v>
      </c>
      <c r="I1243" s="1544" t="s">
        <v>2061</v>
      </c>
      <c r="J1243" s="1544" t="s">
        <v>4071</v>
      </c>
      <c r="K1243" s="1544"/>
      <c r="L1243" s="1544"/>
      <c r="M1243" s="1544"/>
      <c r="N1243" s="1544"/>
      <c r="O1243" s="1544"/>
    </row>
    <row r="1244" spans="8:15">
      <c r="H1244" s="1543" t="s">
        <v>4072</v>
      </c>
      <c r="I1244" s="1544" t="s">
        <v>2061</v>
      </c>
      <c r="J1244" s="1544" t="s">
        <v>4073</v>
      </c>
      <c r="K1244" s="1544"/>
      <c r="L1244" s="1544"/>
      <c r="M1244" s="1544"/>
      <c r="N1244" s="1544"/>
      <c r="O1244" s="1544"/>
    </row>
    <row r="1245" spans="8:15">
      <c r="H1245" s="1543" t="s">
        <v>4074</v>
      </c>
      <c r="I1245" s="1544" t="s">
        <v>2061</v>
      </c>
      <c r="J1245" s="1544" t="s">
        <v>4075</v>
      </c>
      <c r="K1245" s="1544"/>
      <c r="L1245" s="1544"/>
      <c r="M1245" s="1544"/>
      <c r="N1245" s="1544"/>
      <c r="O1245" s="1544"/>
    </row>
    <row r="1246" spans="8:15">
      <c r="H1246" s="1543" t="s">
        <v>4076</v>
      </c>
      <c r="I1246" s="1544" t="s">
        <v>2061</v>
      </c>
      <c r="J1246" s="1544" t="s">
        <v>4077</v>
      </c>
      <c r="K1246" s="1544"/>
      <c r="L1246" s="1544"/>
      <c r="M1246" s="1544"/>
      <c r="N1246" s="1544"/>
      <c r="O1246" s="1544"/>
    </row>
    <row r="1247" spans="8:15">
      <c r="H1247" s="1543" t="s">
        <v>4078</v>
      </c>
      <c r="I1247" s="1544" t="s">
        <v>2061</v>
      </c>
      <c r="J1247" s="1544" t="s">
        <v>4079</v>
      </c>
      <c r="K1247" s="1544"/>
      <c r="L1247" s="1544"/>
      <c r="M1247" s="1544"/>
      <c r="N1247" s="1544"/>
      <c r="O1247" s="1544"/>
    </row>
    <row r="1248" spans="8:15">
      <c r="H1248" s="1543" t="s">
        <v>4080</v>
      </c>
      <c r="I1248" s="1544" t="s">
        <v>2061</v>
      </c>
      <c r="J1248" s="1544" t="s">
        <v>4081</v>
      </c>
      <c r="K1248" s="1544"/>
      <c r="L1248" s="1544"/>
      <c r="M1248" s="1544"/>
      <c r="N1248" s="1544"/>
      <c r="O1248" s="1544"/>
    </row>
    <row r="1249" spans="8:15">
      <c r="H1249" s="1543" t="s">
        <v>4082</v>
      </c>
      <c r="I1249" s="1544" t="s">
        <v>2061</v>
      </c>
      <c r="J1249" s="1544" t="s">
        <v>4083</v>
      </c>
      <c r="K1249" s="1544"/>
      <c r="L1249" s="1544"/>
      <c r="M1249" s="1544"/>
      <c r="N1249" s="1544"/>
      <c r="O1249" s="1544"/>
    </row>
    <row r="1250" spans="8:15">
      <c r="H1250" s="1543" t="s">
        <v>4084</v>
      </c>
      <c r="I1250" s="1544" t="s">
        <v>2061</v>
      </c>
      <c r="J1250" s="1544" t="s">
        <v>4085</v>
      </c>
      <c r="K1250" s="1544"/>
      <c r="L1250" s="1544"/>
      <c r="M1250" s="1544"/>
      <c r="N1250" s="1544"/>
      <c r="O1250" s="1544"/>
    </row>
    <row r="1251" spans="8:15">
      <c r="H1251" s="1543" t="s">
        <v>4086</v>
      </c>
      <c r="I1251" s="1544" t="s">
        <v>2061</v>
      </c>
      <c r="J1251" s="1544" t="s">
        <v>4087</v>
      </c>
      <c r="K1251" s="1544"/>
      <c r="L1251" s="1544"/>
      <c r="M1251" s="1544"/>
      <c r="N1251" s="1544"/>
      <c r="O1251" s="1544"/>
    </row>
    <row r="1252" spans="8:15">
      <c r="H1252" s="1543" t="s">
        <v>4088</v>
      </c>
      <c r="I1252" s="1544" t="s">
        <v>2061</v>
      </c>
      <c r="J1252" s="1544" t="s">
        <v>4089</v>
      </c>
      <c r="K1252" s="1544"/>
      <c r="L1252" s="1544"/>
      <c r="M1252" s="1544"/>
      <c r="N1252" s="1544"/>
      <c r="O1252" s="1544"/>
    </row>
    <row r="1253" spans="8:15">
      <c r="H1253" s="1543" t="s">
        <v>4090</v>
      </c>
      <c r="I1253" s="1544" t="s">
        <v>2061</v>
      </c>
      <c r="J1253" s="1544" t="s">
        <v>4091</v>
      </c>
      <c r="K1253" s="1544"/>
      <c r="L1253" s="1544"/>
      <c r="M1253" s="1544"/>
      <c r="N1253" s="1544"/>
      <c r="O1253" s="1544"/>
    </row>
    <row r="1254" spans="8:15">
      <c r="H1254" s="1543" t="s">
        <v>4092</v>
      </c>
      <c r="I1254" s="1544" t="s">
        <v>2061</v>
      </c>
      <c r="J1254" s="1544" t="s">
        <v>4093</v>
      </c>
      <c r="K1254" s="1544"/>
      <c r="L1254" s="1544"/>
      <c r="M1254" s="1544"/>
      <c r="N1254" s="1544"/>
      <c r="O1254" s="1544"/>
    </row>
    <row r="1255" spans="8:15">
      <c r="H1255" s="1543" t="s">
        <v>4094</v>
      </c>
      <c r="I1255" s="1544" t="s">
        <v>2061</v>
      </c>
      <c r="J1255" s="1544" t="s">
        <v>4095</v>
      </c>
      <c r="K1255" s="1544"/>
      <c r="L1255" s="1544"/>
      <c r="M1255" s="1544"/>
      <c r="N1255" s="1544"/>
      <c r="O1255" s="1544"/>
    </row>
    <row r="1256" spans="8:15">
      <c r="H1256" s="1543" t="s">
        <v>4096</v>
      </c>
      <c r="I1256" s="1544" t="s">
        <v>2061</v>
      </c>
      <c r="J1256" s="1544" t="s">
        <v>4097</v>
      </c>
      <c r="K1256" s="1544"/>
      <c r="L1256" s="1544"/>
      <c r="M1256" s="1544"/>
      <c r="N1256" s="1544"/>
      <c r="O1256" s="1544"/>
    </row>
    <row r="1257" spans="8:15">
      <c r="H1257" s="1543" t="s">
        <v>4098</v>
      </c>
      <c r="I1257" s="1544" t="s">
        <v>2061</v>
      </c>
      <c r="J1257" s="1544" t="s">
        <v>4099</v>
      </c>
      <c r="K1257" s="1544"/>
      <c r="L1257" s="1544"/>
      <c r="M1257" s="1544"/>
      <c r="N1257" s="1544"/>
      <c r="O1257" s="1544"/>
    </row>
    <row r="1258" spans="8:15">
      <c r="H1258" s="1543" t="s">
        <v>4100</v>
      </c>
      <c r="I1258" s="1544" t="s">
        <v>2061</v>
      </c>
      <c r="J1258" s="1544" t="s">
        <v>4101</v>
      </c>
      <c r="K1258" s="1544"/>
      <c r="L1258" s="1544"/>
      <c r="M1258" s="1544"/>
      <c r="N1258" s="1544"/>
      <c r="O1258" s="1544"/>
    </row>
    <row r="1259" spans="8:15">
      <c r="H1259" s="1543" t="s">
        <v>4102</v>
      </c>
      <c r="I1259" s="1544" t="s">
        <v>2061</v>
      </c>
      <c r="J1259" s="1544" t="s">
        <v>4103</v>
      </c>
      <c r="K1259" s="1544"/>
      <c r="L1259" s="1544"/>
      <c r="M1259" s="1544"/>
      <c r="N1259" s="1544"/>
      <c r="O1259" s="1544"/>
    </row>
    <row r="1260" spans="8:15">
      <c r="H1260" s="1543" t="s">
        <v>4104</v>
      </c>
      <c r="I1260" s="1544" t="s">
        <v>498</v>
      </c>
      <c r="J1260" s="1544"/>
      <c r="K1260" s="1544">
        <f>ROW()</f>
        <v>1260</v>
      </c>
      <c r="L1260" s="1544">
        <f>K1260+COUNTIF($I$122:$I$1909,I1260)-1</f>
        <v>1303</v>
      </c>
      <c r="M1260" s="1544"/>
      <c r="N1260" s="1544"/>
      <c r="O1260" s="1544"/>
    </row>
    <row r="1261" spans="8:15">
      <c r="H1261" s="1543" t="s">
        <v>1253</v>
      </c>
      <c r="I1261" s="1544" t="s">
        <v>498</v>
      </c>
      <c r="J1261" s="1544" t="s">
        <v>1252</v>
      </c>
      <c r="K1261" s="1544"/>
      <c r="L1261" s="1544"/>
      <c r="M1261" s="1544"/>
      <c r="N1261" s="1544"/>
      <c r="O1261" s="1544"/>
    </row>
    <row r="1262" spans="8:15">
      <c r="H1262" s="1543" t="s">
        <v>1255</v>
      </c>
      <c r="I1262" s="1544" t="s">
        <v>498</v>
      </c>
      <c r="J1262" s="1544" t="s">
        <v>1254</v>
      </c>
      <c r="K1262" s="1544"/>
      <c r="L1262" s="1544"/>
      <c r="M1262" s="1544"/>
      <c r="N1262" s="1544"/>
      <c r="O1262" s="1544"/>
    </row>
    <row r="1263" spans="8:15">
      <c r="H1263" s="1543" t="s">
        <v>1411</v>
      </c>
      <c r="I1263" s="1544" t="s">
        <v>498</v>
      </c>
      <c r="J1263" s="1544" t="s">
        <v>1410</v>
      </c>
      <c r="K1263" s="1544"/>
      <c r="L1263" s="1544"/>
      <c r="M1263" s="1544"/>
      <c r="N1263" s="1544"/>
      <c r="O1263" s="1544"/>
    </row>
    <row r="1264" spans="8:15">
      <c r="H1264" s="1543" t="s">
        <v>1317</v>
      </c>
      <c r="I1264" s="1544" t="s">
        <v>498</v>
      </c>
      <c r="J1264" s="1544" t="s">
        <v>1316</v>
      </c>
      <c r="K1264" s="1544"/>
      <c r="L1264" s="1544"/>
      <c r="M1264" s="1544"/>
      <c r="N1264" s="1544"/>
      <c r="O1264" s="1544"/>
    </row>
    <row r="1265" spans="8:15">
      <c r="H1265" s="1543" t="s">
        <v>4105</v>
      </c>
      <c r="I1265" s="1544" t="s">
        <v>498</v>
      </c>
      <c r="J1265" s="1544" t="s">
        <v>4106</v>
      </c>
      <c r="K1265" s="1544"/>
      <c r="L1265" s="1544"/>
      <c r="M1265" s="1544"/>
      <c r="N1265" s="1544"/>
      <c r="O1265" s="1544"/>
    </row>
    <row r="1266" spans="8:15">
      <c r="H1266" s="1543" t="s">
        <v>1413</v>
      </c>
      <c r="I1266" s="1544" t="s">
        <v>498</v>
      </c>
      <c r="J1266" s="1544" t="s">
        <v>1412</v>
      </c>
      <c r="K1266" s="1544"/>
      <c r="L1266" s="1544"/>
      <c r="M1266" s="1544"/>
      <c r="N1266" s="1544"/>
      <c r="O1266" s="1544"/>
    </row>
    <row r="1267" spans="8:15">
      <c r="H1267" s="1543" t="s">
        <v>4107</v>
      </c>
      <c r="I1267" s="1544" t="s">
        <v>498</v>
      </c>
      <c r="J1267" s="1544" t="s">
        <v>4108</v>
      </c>
      <c r="K1267" s="1544"/>
      <c r="L1267" s="1544"/>
      <c r="M1267" s="1544"/>
      <c r="N1267" s="1544"/>
      <c r="O1267" s="1544"/>
    </row>
    <row r="1268" spans="8:15">
      <c r="H1268" s="1543" t="s">
        <v>1319</v>
      </c>
      <c r="I1268" s="1544" t="s">
        <v>498</v>
      </c>
      <c r="J1268" s="1544" t="s">
        <v>1318</v>
      </c>
      <c r="K1268" s="1544"/>
      <c r="L1268" s="1544"/>
      <c r="M1268" s="1544"/>
      <c r="N1268" s="1544"/>
      <c r="O1268" s="1544"/>
    </row>
    <row r="1269" spans="8:15">
      <c r="H1269" s="1543" t="s">
        <v>4109</v>
      </c>
      <c r="I1269" s="1544" t="s">
        <v>498</v>
      </c>
      <c r="J1269" s="1544" t="s">
        <v>4110</v>
      </c>
      <c r="K1269" s="1544"/>
      <c r="L1269" s="1544"/>
      <c r="M1269" s="1544"/>
      <c r="N1269" s="1544"/>
      <c r="O1269" s="1544"/>
    </row>
    <row r="1270" spans="8:15">
      <c r="H1270" s="1543" t="s">
        <v>4111</v>
      </c>
      <c r="I1270" s="1544" t="s">
        <v>498</v>
      </c>
      <c r="J1270" s="1544" t="s">
        <v>4112</v>
      </c>
      <c r="K1270" s="1544"/>
      <c r="L1270" s="1544"/>
      <c r="M1270" s="1544"/>
      <c r="N1270" s="1544"/>
      <c r="O1270" s="1544"/>
    </row>
    <row r="1271" spans="8:15">
      <c r="H1271" s="1543" t="s">
        <v>1321</v>
      </c>
      <c r="I1271" s="1544" t="s">
        <v>498</v>
      </c>
      <c r="J1271" s="1544" t="s">
        <v>1320</v>
      </c>
      <c r="K1271" s="1544"/>
      <c r="L1271" s="1544"/>
      <c r="M1271" s="1544"/>
      <c r="N1271" s="1544"/>
      <c r="O1271" s="1544"/>
    </row>
    <row r="1272" spans="8:15">
      <c r="H1272" s="1543" t="s">
        <v>1415</v>
      </c>
      <c r="I1272" s="1544" t="s">
        <v>498</v>
      </c>
      <c r="J1272" s="1544" t="s">
        <v>1414</v>
      </c>
      <c r="K1272" s="1544"/>
      <c r="L1272" s="1544"/>
      <c r="M1272" s="1544"/>
      <c r="N1272" s="1544"/>
      <c r="O1272" s="1544"/>
    </row>
    <row r="1273" spans="8:15">
      <c r="H1273" s="1543" t="s">
        <v>1417</v>
      </c>
      <c r="I1273" s="1544" t="s">
        <v>498</v>
      </c>
      <c r="J1273" s="1544" t="s">
        <v>1416</v>
      </c>
      <c r="K1273" s="1544"/>
      <c r="L1273" s="1544"/>
      <c r="M1273" s="1544"/>
      <c r="N1273" s="1544"/>
      <c r="O1273" s="1544"/>
    </row>
    <row r="1274" spans="8:15">
      <c r="H1274" s="1543" t="s">
        <v>4113</v>
      </c>
      <c r="I1274" s="1544" t="s">
        <v>498</v>
      </c>
      <c r="J1274" s="1544" t="s">
        <v>4114</v>
      </c>
      <c r="K1274" s="1544"/>
      <c r="L1274" s="1544"/>
      <c r="M1274" s="1544"/>
      <c r="N1274" s="1544"/>
      <c r="O1274" s="1544"/>
    </row>
    <row r="1275" spans="8:15">
      <c r="H1275" s="1543" t="s">
        <v>4115</v>
      </c>
      <c r="I1275" s="1544" t="s">
        <v>498</v>
      </c>
      <c r="J1275" s="1544" t="s">
        <v>4116</v>
      </c>
      <c r="K1275" s="1544"/>
      <c r="L1275" s="1544"/>
      <c r="M1275" s="1544"/>
      <c r="N1275" s="1544"/>
      <c r="O1275" s="1544"/>
    </row>
    <row r="1276" spans="8:15">
      <c r="H1276" s="1543" t="s">
        <v>1419</v>
      </c>
      <c r="I1276" s="1544" t="s">
        <v>498</v>
      </c>
      <c r="J1276" s="1544" t="s">
        <v>1418</v>
      </c>
      <c r="K1276" s="1544"/>
      <c r="L1276" s="1544"/>
      <c r="M1276" s="1544"/>
      <c r="N1276" s="1544"/>
      <c r="O1276" s="1544"/>
    </row>
    <row r="1277" spans="8:15">
      <c r="H1277" s="1543" t="s">
        <v>4117</v>
      </c>
      <c r="I1277" s="1544" t="s">
        <v>498</v>
      </c>
      <c r="J1277" s="1544" t="s">
        <v>4118</v>
      </c>
      <c r="K1277" s="1544"/>
      <c r="L1277" s="1544"/>
      <c r="M1277" s="1544"/>
      <c r="N1277" s="1544"/>
      <c r="O1277" s="1544"/>
    </row>
    <row r="1278" spans="8:15">
      <c r="H1278" s="1543" t="s">
        <v>4119</v>
      </c>
      <c r="I1278" s="1544" t="s">
        <v>498</v>
      </c>
      <c r="J1278" s="1544" t="s">
        <v>4120</v>
      </c>
      <c r="K1278" s="1544"/>
      <c r="L1278" s="1544"/>
      <c r="M1278" s="1544"/>
      <c r="N1278" s="1544"/>
      <c r="O1278" s="1544"/>
    </row>
    <row r="1279" spans="8:15">
      <c r="H1279" s="1543" t="s">
        <v>4121</v>
      </c>
      <c r="I1279" s="1544" t="s">
        <v>498</v>
      </c>
      <c r="J1279" s="1544" t="s">
        <v>4122</v>
      </c>
      <c r="K1279" s="1544"/>
      <c r="L1279" s="1544"/>
      <c r="M1279" s="1544"/>
      <c r="N1279" s="1544"/>
      <c r="O1279" s="1544"/>
    </row>
    <row r="1280" spans="8:15">
      <c r="H1280" s="1543" t="s">
        <v>4123</v>
      </c>
      <c r="I1280" s="1544" t="s">
        <v>498</v>
      </c>
      <c r="J1280" s="1544" t="s">
        <v>4124</v>
      </c>
      <c r="K1280" s="1544"/>
      <c r="L1280" s="1544"/>
      <c r="M1280" s="1544"/>
      <c r="N1280" s="1544"/>
      <c r="O1280" s="1544"/>
    </row>
    <row r="1281" spans="8:15">
      <c r="H1281" s="1543" t="s">
        <v>4125</v>
      </c>
      <c r="I1281" s="1544" t="s">
        <v>498</v>
      </c>
      <c r="J1281" s="1544" t="s">
        <v>4126</v>
      </c>
      <c r="K1281" s="1544"/>
      <c r="L1281" s="1544"/>
      <c r="M1281" s="1544"/>
      <c r="N1281" s="1544"/>
      <c r="O1281" s="1544"/>
    </row>
    <row r="1282" spans="8:15">
      <c r="H1282" s="1543" t="s">
        <v>4127</v>
      </c>
      <c r="I1282" s="1544" t="s">
        <v>498</v>
      </c>
      <c r="J1282" s="1544" t="s">
        <v>4128</v>
      </c>
      <c r="K1282" s="1544"/>
      <c r="L1282" s="1544"/>
      <c r="M1282" s="1544"/>
      <c r="N1282" s="1544"/>
      <c r="O1282" s="1544"/>
    </row>
    <row r="1283" spans="8:15">
      <c r="H1283" s="1543" t="s">
        <v>4129</v>
      </c>
      <c r="I1283" s="1544" t="s">
        <v>498</v>
      </c>
      <c r="J1283" s="1544" t="s">
        <v>4130</v>
      </c>
      <c r="K1283" s="1544"/>
      <c r="L1283" s="1544"/>
      <c r="M1283" s="1544"/>
      <c r="N1283" s="1544"/>
      <c r="O1283" s="1544"/>
    </row>
    <row r="1284" spans="8:15">
      <c r="H1284" s="1543" t="s">
        <v>4131</v>
      </c>
      <c r="I1284" s="1544" t="s">
        <v>498</v>
      </c>
      <c r="J1284" s="1544" t="s">
        <v>4132</v>
      </c>
      <c r="K1284" s="1544"/>
      <c r="L1284" s="1544"/>
      <c r="M1284" s="1544"/>
      <c r="N1284" s="1544"/>
      <c r="O1284" s="1544"/>
    </row>
    <row r="1285" spans="8:15">
      <c r="H1285" s="1543" t="s">
        <v>4133</v>
      </c>
      <c r="I1285" s="1544" t="s">
        <v>498</v>
      </c>
      <c r="J1285" s="1544" t="s">
        <v>4134</v>
      </c>
      <c r="K1285" s="1544"/>
      <c r="L1285" s="1544"/>
      <c r="M1285" s="1544"/>
      <c r="N1285" s="1544"/>
      <c r="O1285" s="1544"/>
    </row>
    <row r="1286" spans="8:15">
      <c r="H1286" s="1543" t="s">
        <v>4135</v>
      </c>
      <c r="I1286" s="1544" t="s">
        <v>498</v>
      </c>
      <c r="J1286" s="1544" t="s">
        <v>4136</v>
      </c>
      <c r="K1286" s="1544"/>
      <c r="L1286" s="1544"/>
      <c r="M1286" s="1544"/>
      <c r="N1286" s="1544"/>
      <c r="O1286" s="1544"/>
    </row>
    <row r="1287" spans="8:15">
      <c r="H1287" s="1543" t="s">
        <v>4137</v>
      </c>
      <c r="I1287" s="1544" t="s">
        <v>498</v>
      </c>
      <c r="J1287" s="1544" t="s">
        <v>4138</v>
      </c>
      <c r="K1287" s="1544"/>
      <c r="L1287" s="1544"/>
      <c r="M1287" s="1544"/>
      <c r="N1287" s="1544"/>
      <c r="O1287" s="1544"/>
    </row>
    <row r="1288" spans="8:15">
      <c r="H1288" s="1543" t="s">
        <v>1323</v>
      </c>
      <c r="I1288" s="1544" t="s">
        <v>498</v>
      </c>
      <c r="J1288" s="1544" t="s">
        <v>1322</v>
      </c>
      <c r="K1288" s="1544"/>
      <c r="L1288" s="1544"/>
      <c r="M1288" s="1544"/>
      <c r="N1288" s="1544"/>
      <c r="O1288" s="1544"/>
    </row>
    <row r="1289" spans="8:15">
      <c r="H1289" s="1543" t="s">
        <v>4139</v>
      </c>
      <c r="I1289" s="1544" t="s">
        <v>498</v>
      </c>
      <c r="J1289" s="1544" t="s">
        <v>4140</v>
      </c>
      <c r="K1289" s="1544"/>
      <c r="L1289" s="1544"/>
      <c r="M1289" s="1544"/>
      <c r="N1289" s="1544"/>
      <c r="O1289" s="1544"/>
    </row>
    <row r="1290" spans="8:15">
      <c r="H1290" s="1543" t="s">
        <v>4141</v>
      </c>
      <c r="I1290" s="1544" t="s">
        <v>498</v>
      </c>
      <c r="J1290" s="1544" t="s">
        <v>4142</v>
      </c>
      <c r="K1290" s="1544"/>
      <c r="L1290" s="1544"/>
      <c r="M1290" s="1544"/>
      <c r="N1290" s="1544"/>
      <c r="O1290" s="1544"/>
    </row>
    <row r="1291" spans="8:15">
      <c r="H1291" s="1543" t="s">
        <v>4143</v>
      </c>
      <c r="I1291" s="1544" t="s">
        <v>498</v>
      </c>
      <c r="J1291" s="1544" t="s">
        <v>4144</v>
      </c>
      <c r="K1291" s="1544"/>
      <c r="L1291" s="1544"/>
      <c r="M1291" s="1544"/>
      <c r="N1291" s="1544"/>
      <c r="O1291" s="1544"/>
    </row>
    <row r="1292" spans="8:15">
      <c r="H1292" s="1543" t="s">
        <v>4145</v>
      </c>
      <c r="I1292" s="1544" t="s">
        <v>498</v>
      </c>
      <c r="J1292" s="1544" t="s">
        <v>4146</v>
      </c>
      <c r="K1292" s="1544"/>
      <c r="L1292" s="1544"/>
      <c r="M1292" s="1544"/>
      <c r="N1292" s="1544"/>
      <c r="O1292" s="1544"/>
    </row>
    <row r="1293" spans="8:15">
      <c r="H1293" s="1543" t="s">
        <v>4147</v>
      </c>
      <c r="I1293" s="1544" t="s">
        <v>498</v>
      </c>
      <c r="J1293" s="1544" t="s">
        <v>4148</v>
      </c>
      <c r="K1293" s="1544"/>
      <c r="L1293" s="1544"/>
      <c r="M1293" s="1544"/>
      <c r="N1293" s="1544"/>
      <c r="O1293" s="1544"/>
    </row>
    <row r="1294" spans="8:15">
      <c r="H1294" s="1543" t="s">
        <v>4149</v>
      </c>
      <c r="I1294" s="1544" t="s">
        <v>498</v>
      </c>
      <c r="J1294" s="1544" t="s">
        <v>4150</v>
      </c>
      <c r="K1294" s="1544"/>
      <c r="L1294" s="1544"/>
      <c r="M1294" s="1544"/>
      <c r="N1294" s="1544"/>
      <c r="O1294" s="1544"/>
    </row>
    <row r="1295" spans="8:15">
      <c r="H1295" s="1543" t="s">
        <v>4151</v>
      </c>
      <c r="I1295" s="1544" t="s">
        <v>498</v>
      </c>
      <c r="J1295" s="1544" t="s">
        <v>4152</v>
      </c>
      <c r="K1295" s="1544"/>
      <c r="L1295" s="1544"/>
      <c r="M1295" s="1544"/>
      <c r="N1295" s="1544"/>
      <c r="O1295" s="1544"/>
    </row>
    <row r="1296" spans="8:15">
      <c r="H1296" s="1543" t="s">
        <v>4153</v>
      </c>
      <c r="I1296" s="1544" t="s">
        <v>498</v>
      </c>
      <c r="J1296" s="1544" t="s">
        <v>4154</v>
      </c>
      <c r="K1296" s="1544"/>
      <c r="L1296" s="1544"/>
      <c r="M1296" s="1544"/>
      <c r="N1296" s="1544"/>
      <c r="O1296" s="1544"/>
    </row>
    <row r="1297" spans="8:15">
      <c r="H1297" s="1543" t="s">
        <v>4155</v>
      </c>
      <c r="I1297" s="1544" t="s">
        <v>498</v>
      </c>
      <c r="J1297" s="1544" t="s">
        <v>4156</v>
      </c>
      <c r="K1297" s="1544"/>
      <c r="L1297" s="1544"/>
      <c r="M1297" s="1544"/>
      <c r="N1297" s="1544"/>
      <c r="O1297" s="1544"/>
    </row>
    <row r="1298" spans="8:15">
      <c r="H1298" s="1543" t="s">
        <v>4157</v>
      </c>
      <c r="I1298" s="1544" t="s">
        <v>498</v>
      </c>
      <c r="J1298" s="1544" t="s">
        <v>4158</v>
      </c>
      <c r="K1298" s="1544"/>
      <c r="L1298" s="1544"/>
      <c r="M1298" s="1544"/>
      <c r="N1298" s="1544"/>
      <c r="O1298" s="1544"/>
    </row>
    <row r="1299" spans="8:15">
      <c r="H1299" s="1543" t="s">
        <v>4159</v>
      </c>
      <c r="I1299" s="1544" t="s">
        <v>498</v>
      </c>
      <c r="J1299" s="1544" t="s">
        <v>4160</v>
      </c>
      <c r="K1299" s="1544"/>
      <c r="L1299" s="1544"/>
      <c r="M1299" s="1544"/>
      <c r="N1299" s="1544"/>
      <c r="O1299" s="1544"/>
    </row>
    <row r="1300" spans="8:15">
      <c r="H1300" s="1543" t="s">
        <v>4161</v>
      </c>
      <c r="I1300" s="1544" t="s">
        <v>498</v>
      </c>
      <c r="J1300" s="1544" t="s">
        <v>4162</v>
      </c>
      <c r="K1300" s="1544"/>
      <c r="L1300" s="1544"/>
      <c r="M1300" s="1544"/>
      <c r="N1300" s="1544"/>
      <c r="O1300" s="1544"/>
    </row>
    <row r="1301" spans="8:15">
      <c r="H1301" s="1543" t="s">
        <v>4163</v>
      </c>
      <c r="I1301" s="1544" t="s">
        <v>498</v>
      </c>
      <c r="J1301" s="1544" t="s">
        <v>4164</v>
      </c>
      <c r="K1301" s="1544"/>
      <c r="L1301" s="1544"/>
      <c r="M1301" s="1544"/>
      <c r="N1301" s="1544"/>
      <c r="O1301" s="1544"/>
    </row>
    <row r="1302" spans="8:15">
      <c r="H1302" s="1543" t="s">
        <v>4165</v>
      </c>
      <c r="I1302" s="1544" t="s">
        <v>498</v>
      </c>
      <c r="J1302" s="1544" t="s">
        <v>4166</v>
      </c>
      <c r="K1302" s="1544"/>
      <c r="L1302" s="1544"/>
      <c r="M1302" s="1544"/>
      <c r="N1302" s="1544"/>
      <c r="O1302" s="1544"/>
    </row>
    <row r="1303" spans="8:15">
      <c r="H1303" s="1543" t="s">
        <v>4167</v>
      </c>
      <c r="I1303" s="1544" t="s">
        <v>498</v>
      </c>
      <c r="J1303" s="1544" t="s">
        <v>4168</v>
      </c>
      <c r="K1303" s="1544"/>
      <c r="L1303" s="1544"/>
      <c r="M1303" s="1544"/>
      <c r="N1303" s="1544"/>
      <c r="O1303" s="1544"/>
    </row>
    <row r="1304" spans="8:15">
      <c r="H1304" s="1543" t="s">
        <v>4169</v>
      </c>
      <c r="I1304" s="1544" t="s">
        <v>499</v>
      </c>
      <c r="J1304" s="1544"/>
      <c r="K1304" s="1544">
        <f>ROW()</f>
        <v>1304</v>
      </c>
      <c r="L1304" s="1544">
        <f>K1304+COUNTIF($I$122:$I$1909,I1304)-1</f>
        <v>1345</v>
      </c>
      <c r="M1304" s="1544"/>
      <c r="N1304" s="1544"/>
      <c r="O1304" s="1544"/>
    </row>
    <row r="1305" spans="8:15">
      <c r="H1305" s="1543" t="s">
        <v>1257</v>
      </c>
      <c r="I1305" s="1544" t="s">
        <v>499</v>
      </c>
      <c r="J1305" s="1544" t="s">
        <v>1256</v>
      </c>
      <c r="K1305" s="1544"/>
      <c r="L1305" s="1544"/>
      <c r="M1305" s="1544"/>
      <c r="N1305" s="1544"/>
      <c r="O1305" s="1544"/>
    </row>
    <row r="1306" spans="8:15">
      <c r="H1306" s="1543" t="s">
        <v>1325</v>
      </c>
      <c r="I1306" s="1544" t="s">
        <v>499</v>
      </c>
      <c r="J1306" s="1544" t="s">
        <v>1324</v>
      </c>
      <c r="K1306" s="1544"/>
      <c r="L1306" s="1544"/>
      <c r="M1306" s="1544"/>
      <c r="N1306" s="1544"/>
      <c r="O1306" s="1544"/>
    </row>
    <row r="1307" spans="8:15">
      <c r="H1307" s="1543" t="s">
        <v>1327</v>
      </c>
      <c r="I1307" s="1544" t="s">
        <v>499</v>
      </c>
      <c r="J1307" s="1544" t="s">
        <v>1326</v>
      </c>
      <c r="K1307" s="1544"/>
      <c r="L1307" s="1544"/>
      <c r="M1307" s="1544"/>
      <c r="N1307" s="1544"/>
      <c r="O1307" s="1544"/>
    </row>
    <row r="1308" spans="8:15">
      <c r="H1308" s="1543" t="s">
        <v>1421</v>
      </c>
      <c r="I1308" s="1544" t="s">
        <v>499</v>
      </c>
      <c r="J1308" s="1544" t="s">
        <v>1420</v>
      </c>
      <c r="K1308" s="1544"/>
      <c r="L1308" s="1544"/>
      <c r="M1308" s="1544"/>
      <c r="N1308" s="1544"/>
      <c r="O1308" s="1544"/>
    </row>
    <row r="1309" spans="8:15">
      <c r="H1309" s="1543" t="s">
        <v>1329</v>
      </c>
      <c r="I1309" s="1544" t="s">
        <v>499</v>
      </c>
      <c r="J1309" s="1544" t="s">
        <v>1328</v>
      </c>
      <c r="K1309" s="1544"/>
      <c r="L1309" s="1544"/>
      <c r="M1309" s="1544"/>
      <c r="N1309" s="1544"/>
      <c r="O1309" s="1544"/>
    </row>
    <row r="1310" spans="8:15">
      <c r="H1310" s="1543" t="s">
        <v>4170</v>
      </c>
      <c r="I1310" s="1544" t="s">
        <v>499</v>
      </c>
      <c r="J1310" s="1544" t="s">
        <v>4171</v>
      </c>
      <c r="K1310" s="1544"/>
      <c r="L1310" s="1544"/>
      <c r="M1310" s="1544"/>
      <c r="N1310" s="1544"/>
      <c r="O1310" s="1544"/>
    </row>
    <row r="1311" spans="8:15">
      <c r="H1311" s="1543" t="s">
        <v>4172</v>
      </c>
      <c r="I1311" s="1544" t="s">
        <v>499</v>
      </c>
      <c r="J1311" s="1544" t="s">
        <v>4173</v>
      </c>
      <c r="K1311" s="1544"/>
      <c r="L1311" s="1544"/>
      <c r="M1311" s="1544"/>
      <c r="N1311" s="1544"/>
      <c r="O1311" s="1544"/>
    </row>
    <row r="1312" spans="8:15">
      <c r="H1312" s="1543" t="s">
        <v>4174</v>
      </c>
      <c r="I1312" s="1544" t="s">
        <v>499</v>
      </c>
      <c r="J1312" s="1544" t="s">
        <v>4175</v>
      </c>
      <c r="K1312" s="1544"/>
      <c r="L1312" s="1544"/>
      <c r="M1312" s="1544"/>
      <c r="N1312" s="1544"/>
      <c r="O1312" s="1544"/>
    </row>
    <row r="1313" spans="8:15">
      <c r="H1313" s="1543" t="s">
        <v>4176</v>
      </c>
      <c r="I1313" s="1544" t="s">
        <v>499</v>
      </c>
      <c r="J1313" s="1544" t="s">
        <v>4177</v>
      </c>
      <c r="K1313" s="1544"/>
      <c r="L1313" s="1544"/>
      <c r="M1313" s="1544"/>
      <c r="N1313" s="1544"/>
      <c r="O1313" s="1544"/>
    </row>
    <row r="1314" spans="8:15">
      <c r="H1314" s="1543" t="s">
        <v>4178</v>
      </c>
      <c r="I1314" s="1544" t="s">
        <v>499</v>
      </c>
      <c r="J1314" s="1544" t="s">
        <v>4179</v>
      </c>
      <c r="K1314" s="1544"/>
      <c r="L1314" s="1544"/>
      <c r="M1314" s="1544"/>
      <c r="N1314" s="1544"/>
      <c r="O1314" s="1544"/>
    </row>
    <row r="1315" spans="8:15">
      <c r="H1315" s="1543" t="s">
        <v>1423</v>
      </c>
      <c r="I1315" s="1544" t="s">
        <v>499</v>
      </c>
      <c r="J1315" s="1544" t="s">
        <v>1422</v>
      </c>
      <c r="K1315" s="1544"/>
      <c r="L1315" s="1544"/>
      <c r="M1315" s="1544"/>
      <c r="N1315" s="1544"/>
      <c r="O1315" s="1544"/>
    </row>
    <row r="1316" spans="8:15">
      <c r="H1316" s="1543" t="s">
        <v>4180</v>
      </c>
      <c r="I1316" s="1544" t="s">
        <v>499</v>
      </c>
      <c r="J1316" s="1544" t="s">
        <v>4181</v>
      </c>
      <c r="K1316" s="1544"/>
      <c r="L1316" s="1544"/>
      <c r="M1316" s="1544"/>
      <c r="N1316" s="1544"/>
      <c r="O1316" s="1544"/>
    </row>
    <row r="1317" spans="8:15">
      <c r="H1317" s="1543" t="s">
        <v>4182</v>
      </c>
      <c r="I1317" s="1544" t="s">
        <v>499</v>
      </c>
      <c r="J1317" s="1544" t="s">
        <v>4183</v>
      </c>
      <c r="K1317" s="1544"/>
      <c r="L1317" s="1544"/>
      <c r="M1317" s="1544"/>
      <c r="N1317" s="1544"/>
      <c r="O1317" s="1544"/>
    </row>
    <row r="1318" spans="8:15">
      <c r="H1318" s="1543" t="s">
        <v>1425</v>
      </c>
      <c r="I1318" s="1544" t="s">
        <v>499</v>
      </c>
      <c r="J1318" s="1544" t="s">
        <v>1424</v>
      </c>
      <c r="K1318" s="1544"/>
      <c r="L1318" s="1544"/>
      <c r="M1318" s="1544"/>
      <c r="N1318" s="1544"/>
      <c r="O1318" s="1544"/>
    </row>
    <row r="1319" spans="8:15">
      <c r="H1319" s="1543" t="s">
        <v>4184</v>
      </c>
      <c r="I1319" s="1544" t="s">
        <v>499</v>
      </c>
      <c r="J1319" s="1544" t="s">
        <v>4185</v>
      </c>
      <c r="K1319" s="1544"/>
      <c r="L1319" s="1544"/>
      <c r="M1319" s="1544"/>
      <c r="N1319" s="1544"/>
      <c r="O1319" s="1544"/>
    </row>
    <row r="1320" spans="8:15">
      <c r="H1320" s="1543" t="s">
        <v>4186</v>
      </c>
      <c r="I1320" s="1544" t="s">
        <v>499</v>
      </c>
      <c r="J1320" s="1544" t="s">
        <v>4187</v>
      </c>
      <c r="K1320" s="1544"/>
      <c r="L1320" s="1544"/>
      <c r="M1320" s="1544"/>
      <c r="N1320" s="1544"/>
      <c r="O1320" s="1544"/>
    </row>
    <row r="1321" spans="8:15">
      <c r="H1321" s="1543" t="s">
        <v>4188</v>
      </c>
      <c r="I1321" s="1544" t="s">
        <v>499</v>
      </c>
      <c r="J1321" s="1544" t="s">
        <v>4189</v>
      </c>
      <c r="K1321" s="1544"/>
      <c r="L1321" s="1544"/>
      <c r="M1321" s="1544"/>
      <c r="N1321" s="1544"/>
      <c r="O1321" s="1544"/>
    </row>
    <row r="1322" spans="8:15">
      <c r="H1322" s="1543" t="s">
        <v>4190</v>
      </c>
      <c r="I1322" s="1544" t="s">
        <v>499</v>
      </c>
      <c r="J1322" s="1544" t="s">
        <v>4191</v>
      </c>
      <c r="K1322" s="1544"/>
      <c r="L1322" s="1544"/>
      <c r="M1322" s="1544"/>
      <c r="N1322" s="1544"/>
      <c r="O1322" s="1544"/>
    </row>
    <row r="1323" spans="8:15">
      <c r="H1323" s="1543" t="s">
        <v>4192</v>
      </c>
      <c r="I1323" s="1544" t="s">
        <v>499</v>
      </c>
      <c r="J1323" s="1544" t="s">
        <v>4193</v>
      </c>
      <c r="K1323" s="1544"/>
      <c r="L1323" s="1544"/>
      <c r="M1323" s="1544"/>
      <c r="N1323" s="1544"/>
      <c r="O1323" s="1544"/>
    </row>
    <row r="1324" spans="8:15">
      <c r="H1324" s="1543" t="s">
        <v>4194</v>
      </c>
      <c r="I1324" s="1544" t="s">
        <v>499</v>
      </c>
      <c r="J1324" s="1544" t="s">
        <v>4195</v>
      </c>
      <c r="K1324" s="1544"/>
      <c r="L1324" s="1544"/>
      <c r="M1324" s="1544"/>
      <c r="N1324" s="1544"/>
      <c r="O1324" s="1544"/>
    </row>
    <row r="1325" spans="8:15">
      <c r="H1325" s="1543" t="s">
        <v>4196</v>
      </c>
      <c r="I1325" s="1544" t="s">
        <v>499</v>
      </c>
      <c r="J1325" s="1544" t="s">
        <v>4197</v>
      </c>
      <c r="K1325" s="1544"/>
      <c r="L1325" s="1544"/>
      <c r="M1325" s="1544"/>
      <c r="N1325" s="1544"/>
      <c r="O1325" s="1544"/>
    </row>
    <row r="1326" spans="8:15">
      <c r="H1326" s="1543" t="s">
        <v>4198</v>
      </c>
      <c r="I1326" s="1544" t="s">
        <v>499</v>
      </c>
      <c r="J1326" s="1544" t="s">
        <v>4199</v>
      </c>
      <c r="K1326" s="1544"/>
      <c r="L1326" s="1544"/>
      <c r="M1326" s="1544"/>
      <c r="N1326" s="1544"/>
      <c r="O1326" s="1544"/>
    </row>
    <row r="1327" spans="8:15">
      <c r="H1327" s="1543" t="s">
        <v>4200</v>
      </c>
      <c r="I1327" s="1544" t="s">
        <v>499</v>
      </c>
      <c r="J1327" s="1544" t="s">
        <v>4201</v>
      </c>
      <c r="K1327" s="1544"/>
      <c r="L1327" s="1544"/>
      <c r="M1327" s="1544"/>
      <c r="N1327" s="1544"/>
      <c r="O1327" s="1544"/>
    </row>
    <row r="1328" spans="8:15">
      <c r="H1328" s="1543" t="s">
        <v>4202</v>
      </c>
      <c r="I1328" s="1544" t="s">
        <v>499</v>
      </c>
      <c r="J1328" s="1544" t="s">
        <v>4203</v>
      </c>
      <c r="K1328" s="1544"/>
      <c r="L1328" s="1544"/>
      <c r="M1328" s="1544"/>
      <c r="N1328" s="1544"/>
      <c r="O1328" s="1544"/>
    </row>
    <row r="1329" spans="8:15">
      <c r="H1329" s="1543" t="s">
        <v>4204</v>
      </c>
      <c r="I1329" s="1544" t="s">
        <v>499</v>
      </c>
      <c r="J1329" s="1544" t="s">
        <v>4205</v>
      </c>
      <c r="K1329" s="1544"/>
      <c r="L1329" s="1544"/>
      <c r="M1329" s="1544"/>
      <c r="N1329" s="1544"/>
      <c r="O1329" s="1544"/>
    </row>
    <row r="1330" spans="8:15">
      <c r="H1330" s="1543" t="s">
        <v>4206</v>
      </c>
      <c r="I1330" s="1544" t="s">
        <v>499</v>
      </c>
      <c r="J1330" s="1544" t="s">
        <v>4207</v>
      </c>
      <c r="K1330" s="1544"/>
      <c r="L1330" s="1544"/>
      <c r="M1330" s="1544"/>
      <c r="N1330" s="1544"/>
      <c r="O1330" s="1544"/>
    </row>
    <row r="1331" spans="8:15">
      <c r="H1331" s="1543" t="s">
        <v>4208</v>
      </c>
      <c r="I1331" s="1544" t="s">
        <v>499</v>
      </c>
      <c r="J1331" s="1544" t="s">
        <v>4209</v>
      </c>
      <c r="K1331" s="1544"/>
      <c r="L1331" s="1544"/>
      <c r="M1331" s="1544"/>
      <c r="N1331" s="1544"/>
      <c r="O1331" s="1544"/>
    </row>
    <row r="1332" spans="8:15">
      <c r="H1332" s="1543" t="s">
        <v>4210</v>
      </c>
      <c r="I1332" s="1544" t="s">
        <v>499</v>
      </c>
      <c r="J1332" s="1544" t="s">
        <v>4211</v>
      </c>
      <c r="K1332" s="1544"/>
      <c r="L1332" s="1544"/>
      <c r="M1332" s="1544"/>
      <c r="N1332" s="1544"/>
      <c r="O1332" s="1544"/>
    </row>
    <row r="1333" spans="8:15">
      <c r="H1333" s="1543" t="s">
        <v>4212</v>
      </c>
      <c r="I1333" s="1544" t="s">
        <v>499</v>
      </c>
      <c r="J1333" s="1544" t="s">
        <v>4213</v>
      </c>
      <c r="K1333" s="1544"/>
      <c r="L1333" s="1544"/>
      <c r="M1333" s="1544"/>
      <c r="N1333" s="1544"/>
      <c r="O1333" s="1544"/>
    </row>
    <row r="1334" spans="8:15">
      <c r="H1334" s="1543" t="s">
        <v>4214</v>
      </c>
      <c r="I1334" s="1544" t="s">
        <v>499</v>
      </c>
      <c r="J1334" s="1544" t="s">
        <v>4215</v>
      </c>
      <c r="K1334" s="1544"/>
      <c r="L1334" s="1544"/>
      <c r="M1334" s="1544"/>
      <c r="N1334" s="1544"/>
      <c r="O1334" s="1544"/>
    </row>
    <row r="1335" spans="8:15">
      <c r="H1335" s="1543" t="s">
        <v>4216</v>
      </c>
      <c r="I1335" s="1544" t="s">
        <v>499</v>
      </c>
      <c r="J1335" s="1544" t="s">
        <v>4217</v>
      </c>
      <c r="K1335" s="1544"/>
      <c r="L1335" s="1544"/>
      <c r="M1335" s="1544"/>
      <c r="N1335" s="1544"/>
      <c r="O1335" s="1544"/>
    </row>
    <row r="1336" spans="8:15">
      <c r="H1336" s="1543" t="s">
        <v>4218</v>
      </c>
      <c r="I1336" s="1544" t="s">
        <v>499</v>
      </c>
      <c r="J1336" s="1544" t="s">
        <v>4219</v>
      </c>
      <c r="K1336" s="1544"/>
      <c r="L1336" s="1544"/>
      <c r="M1336" s="1544"/>
      <c r="N1336" s="1544"/>
      <c r="O1336" s="1544"/>
    </row>
    <row r="1337" spans="8:15">
      <c r="H1337" s="1543" t="s">
        <v>4220</v>
      </c>
      <c r="I1337" s="1544" t="s">
        <v>499</v>
      </c>
      <c r="J1337" s="1544" t="s">
        <v>4221</v>
      </c>
      <c r="K1337" s="1544"/>
      <c r="L1337" s="1544"/>
      <c r="M1337" s="1544"/>
      <c r="N1337" s="1544"/>
      <c r="O1337" s="1544"/>
    </row>
    <row r="1338" spans="8:15">
      <c r="H1338" s="1543" t="s">
        <v>4222</v>
      </c>
      <c r="I1338" s="1544" t="s">
        <v>499</v>
      </c>
      <c r="J1338" s="1544" t="s">
        <v>4223</v>
      </c>
      <c r="K1338" s="1544"/>
      <c r="L1338" s="1544"/>
      <c r="M1338" s="1544"/>
      <c r="N1338" s="1544"/>
      <c r="O1338" s="1544"/>
    </row>
    <row r="1339" spans="8:15">
      <c r="H1339" s="1543" t="s">
        <v>4224</v>
      </c>
      <c r="I1339" s="1544" t="s">
        <v>499</v>
      </c>
      <c r="J1339" s="1544" t="s">
        <v>4225</v>
      </c>
      <c r="K1339" s="1544"/>
      <c r="L1339" s="1544"/>
      <c r="M1339" s="1544"/>
      <c r="N1339" s="1544"/>
      <c r="O1339" s="1544"/>
    </row>
    <row r="1340" spans="8:15">
      <c r="H1340" s="1543" t="s">
        <v>4226</v>
      </c>
      <c r="I1340" s="1544" t="s">
        <v>499</v>
      </c>
      <c r="J1340" s="1544" t="s">
        <v>4227</v>
      </c>
      <c r="K1340" s="1544"/>
      <c r="L1340" s="1544"/>
      <c r="M1340" s="1544"/>
      <c r="N1340" s="1544"/>
      <c r="O1340" s="1544"/>
    </row>
    <row r="1341" spans="8:15">
      <c r="H1341" s="1543" t="s">
        <v>4228</v>
      </c>
      <c r="I1341" s="1544" t="s">
        <v>499</v>
      </c>
      <c r="J1341" s="1544" t="s">
        <v>4164</v>
      </c>
      <c r="K1341" s="1544"/>
      <c r="L1341" s="1544"/>
      <c r="M1341" s="1544"/>
      <c r="N1341" s="1544"/>
      <c r="O1341" s="1544"/>
    </row>
    <row r="1342" spans="8:15">
      <c r="H1342" s="1543" t="s">
        <v>4229</v>
      </c>
      <c r="I1342" s="1544" t="s">
        <v>499</v>
      </c>
      <c r="J1342" s="1544" t="s">
        <v>4230</v>
      </c>
      <c r="K1342" s="1544"/>
      <c r="L1342" s="1544"/>
      <c r="M1342" s="1544"/>
      <c r="N1342" s="1544"/>
      <c r="O1342" s="1544"/>
    </row>
    <row r="1343" spans="8:15">
      <c r="H1343" s="1543" t="s">
        <v>4231</v>
      </c>
      <c r="I1343" s="1544" t="s">
        <v>499</v>
      </c>
      <c r="J1343" s="1544" t="s">
        <v>4232</v>
      </c>
      <c r="K1343" s="1544"/>
      <c r="L1343" s="1544"/>
      <c r="M1343" s="1544"/>
      <c r="N1343" s="1544"/>
      <c r="O1343" s="1544"/>
    </row>
    <row r="1344" spans="8:15">
      <c r="H1344" s="1543" t="s">
        <v>4233</v>
      </c>
      <c r="I1344" s="1544" t="s">
        <v>499</v>
      </c>
      <c r="J1344" s="1544" t="s">
        <v>4234</v>
      </c>
      <c r="K1344" s="1544"/>
      <c r="L1344" s="1544"/>
      <c r="M1344" s="1544"/>
      <c r="N1344" s="1544"/>
      <c r="O1344" s="1544"/>
    </row>
    <row r="1345" spans="8:15">
      <c r="H1345" s="1543" t="s">
        <v>4235</v>
      </c>
      <c r="I1345" s="1544" t="s">
        <v>499</v>
      </c>
      <c r="J1345" s="1544" t="s">
        <v>4236</v>
      </c>
      <c r="K1345" s="1544"/>
      <c r="L1345" s="1544"/>
      <c r="M1345" s="1544"/>
      <c r="N1345" s="1544"/>
      <c r="O1345" s="1544"/>
    </row>
    <row r="1346" spans="8:15">
      <c r="H1346" s="1543" t="s">
        <v>4237</v>
      </c>
      <c r="I1346" s="1544" t="s">
        <v>500</v>
      </c>
      <c r="J1346" s="1544"/>
      <c r="K1346" s="1544">
        <f>ROW()</f>
        <v>1346</v>
      </c>
      <c r="L1346" s="1544">
        <f>K1346+COUNTIF($I$122:$I$1909,I1346)-1</f>
        <v>1385</v>
      </c>
      <c r="M1346" s="1544"/>
      <c r="N1346" s="1544"/>
      <c r="O1346" s="1544"/>
    </row>
    <row r="1347" spans="8:15">
      <c r="H1347" s="1543" t="s">
        <v>1331</v>
      </c>
      <c r="I1347" s="1544" t="s">
        <v>500</v>
      </c>
      <c r="J1347" s="1544" t="s">
        <v>1330</v>
      </c>
      <c r="K1347" s="1544"/>
      <c r="L1347" s="1544"/>
      <c r="M1347" s="1544"/>
      <c r="N1347" s="1544"/>
      <c r="O1347" s="1544"/>
    </row>
    <row r="1348" spans="8:15">
      <c r="H1348" s="1543" t="s">
        <v>4238</v>
      </c>
      <c r="I1348" s="1544" t="s">
        <v>500</v>
      </c>
      <c r="J1348" s="1544" t="s">
        <v>4239</v>
      </c>
      <c r="K1348" s="1544"/>
      <c r="L1348" s="1544"/>
      <c r="M1348" s="1544"/>
      <c r="N1348" s="1544"/>
      <c r="O1348" s="1544"/>
    </row>
    <row r="1349" spans="8:15">
      <c r="H1349" s="1543" t="s">
        <v>4240</v>
      </c>
      <c r="I1349" s="1544" t="s">
        <v>500</v>
      </c>
      <c r="J1349" s="1544" t="s">
        <v>4241</v>
      </c>
      <c r="K1349" s="1544"/>
      <c r="L1349" s="1544"/>
      <c r="M1349" s="1544"/>
      <c r="N1349" s="1544"/>
      <c r="O1349" s="1544"/>
    </row>
    <row r="1350" spans="8:15">
      <c r="H1350" s="1543" t="s">
        <v>4242</v>
      </c>
      <c r="I1350" s="1544" t="s">
        <v>500</v>
      </c>
      <c r="J1350" s="1544" t="s">
        <v>4243</v>
      </c>
      <c r="K1350" s="1544"/>
      <c r="L1350" s="1544"/>
      <c r="M1350" s="1544"/>
      <c r="N1350" s="1544"/>
      <c r="O1350" s="1544"/>
    </row>
    <row r="1351" spans="8:15">
      <c r="H1351" s="1543" t="s">
        <v>4244</v>
      </c>
      <c r="I1351" s="1544" t="s">
        <v>500</v>
      </c>
      <c r="J1351" s="1544" t="s">
        <v>4245</v>
      </c>
      <c r="K1351" s="1544"/>
      <c r="L1351" s="1544"/>
      <c r="M1351" s="1544"/>
      <c r="N1351" s="1544"/>
      <c r="O1351" s="1544"/>
    </row>
    <row r="1352" spans="8:15">
      <c r="H1352" s="1543" t="s">
        <v>4246</v>
      </c>
      <c r="I1352" s="1544" t="s">
        <v>500</v>
      </c>
      <c r="J1352" s="1544" t="s">
        <v>4247</v>
      </c>
      <c r="K1352" s="1544"/>
      <c r="L1352" s="1544"/>
      <c r="M1352" s="1544"/>
      <c r="N1352" s="1544"/>
      <c r="O1352" s="1544"/>
    </row>
    <row r="1353" spans="8:15">
      <c r="H1353" s="1543" t="s">
        <v>4248</v>
      </c>
      <c r="I1353" s="1544" t="s">
        <v>500</v>
      </c>
      <c r="J1353" s="1544" t="s">
        <v>4249</v>
      </c>
      <c r="K1353" s="1544"/>
      <c r="L1353" s="1544"/>
      <c r="M1353" s="1544"/>
      <c r="N1353" s="1544"/>
      <c r="O1353" s="1544"/>
    </row>
    <row r="1354" spans="8:15">
      <c r="H1354" s="1543" t="s">
        <v>4250</v>
      </c>
      <c r="I1354" s="1544" t="s">
        <v>500</v>
      </c>
      <c r="J1354" s="1544" t="s">
        <v>4251</v>
      </c>
      <c r="K1354" s="1544"/>
      <c r="L1354" s="1544"/>
      <c r="M1354" s="1544"/>
      <c r="N1354" s="1544"/>
      <c r="O1354" s="1544"/>
    </row>
    <row r="1355" spans="8:15">
      <c r="H1355" s="1543" t="s">
        <v>4252</v>
      </c>
      <c r="I1355" s="1544" t="s">
        <v>500</v>
      </c>
      <c r="J1355" s="1544" t="s">
        <v>4253</v>
      </c>
      <c r="K1355" s="1544"/>
      <c r="L1355" s="1544"/>
      <c r="M1355" s="1544"/>
      <c r="N1355" s="1544"/>
      <c r="O1355" s="1544"/>
    </row>
    <row r="1356" spans="8:15">
      <c r="H1356" s="1543" t="s">
        <v>4254</v>
      </c>
      <c r="I1356" s="1544" t="s">
        <v>500</v>
      </c>
      <c r="J1356" s="1544" t="s">
        <v>4255</v>
      </c>
      <c r="K1356" s="1544"/>
      <c r="L1356" s="1544"/>
      <c r="M1356" s="1544"/>
      <c r="N1356" s="1544"/>
      <c r="O1356" s="1544"/>
    </row>
    <row r="1357" spans="8:15">
      <c r="H1357" s="1543" t="s">
        <v>4256</v>
      </c>
      <c r="I1357" s="1544" t="s">
        <v>500</v>
      </c>
      <c r="J1357" s="1544" t="s">
        <v>4257</v>
      </c>
      <c r="K1357" s="1544"/>
      <c r="L1357" s="1544"/>
      <c r="M1357" s="1544"/>
      <c r="N1357" s="1544"/>
      <c r="O1357" s="1544"/>
    </row>
    <row r="1358" spans="8:15">
      <c r="H1358" s="1543" t="s">
        <v>4258</v>
      </c>
      <c r="I1358" s="1544" t="s">
        <v>500</v>
      </c>
      <c r="J1358" s="1544" t="s">
        <v>4259</v>
      </c>
      <c r="K1358" s="1544"/>
      <c r="L1358" s="1544"/>
      <c r="M1358" s="1544"/>
      <c r="N1358" s="1544"/>
      <c r="O1358" s="1544"/>
    </row>
    <row r="1359" spans="8:15">
      <c r="H1359" s="1543" t="s">
        <v>4260</v>
      </c>
      <c r="I1359" s="1544" t="s">
        <v>500</v>
      </c>
      <c r="J1359" s="1544" t="s">
        <v>4261</v>
      </c>
      <c r="K1359" s="1544"/>
      <c r="L1359" s="1544"/>
      <c r="M1359" s="1544"/>
      <c r="N1359" s="1544"/>
      <c r="O1359" s="1544"/>
    </row>
    <row r="1360" spans="8:15">
      <c r="H1360" s="1543" t="s">
        <v>4262</v>
      </c>
      <c r="I1360" s="1544" t="s">
        <v>500</v>
      </c>
      <c r="J1360" s="1544" t="s">
        <v>4263</v>
      </c>
      <c r="K1360" s="1544"/>
      <c r="L1360" s="1544"/>
      <c r="M1360" s="1544"/>
      <c r="N1360" s="1544"/>
      <c r="O1360" s="1544"/>
    </row>
    <row r="1361" spans="8:15">
      <c r="H1361" s="1543" t="s">
        <v>4264</v>
      </c>
      <c r="I1361" s="1544" t="s">
        <v>500</v>
      </c>
      <c r="J1361" s="1544" t="s">
        <v>4265</v>
      </c>
      <c r="K1361" s="1544"/>
      <c r="L1361" s="1544"/>
      <c r="M1361" s="1544"/>
      <c r="N1361" s="1544"/>
      <c r="O1361" s="1544"/>
    </row>
    <row r="1362" spans="8:15">
      <c r="H1362" s="1543" t="s">
        <v>4266</v>
      </c>
      <c r="I1362" s="1544" t="s">
        <v>500</v>
      </c>
      <c r="J1362" s="1544" t="s">
        <v>4267</v>
      </c>
      <c r="K1362" s="1544"/>
      <c r="L1362" s="1544"/>
      <c r="M1362" s="1544"/>
      <c r="N1362" s="1544"/>
      <c r="O1362" s="1544"/>
    </row>
    <row r="1363" spans="8:15">
      <c r="H1363" s="1543" t="s">
        <v>4268</v>
      </c>
      <c r="I1363" s="1544" t="s">
        <v>500</v>
      </c>
      <c r="J1363" s="1544" t="s">
        <v>4269</v>
      </c>
      <c r="K1363" s="1544"/>
      <c r="L1363" s="1544"/>
      <c r="M1363" s="1544"/>
      <c r="N1363" s="1544"/>
      <c r="O1363" s="1544"/>
    </row>
    <row r="1364" spans="8:15">
      <c r="H1364" s="1543" t="s">
        <v>4270</v>
      </c>
      <c r="I1364" s="1544" t="s">
        <v>500</v>
      </c>
      <c r="J1364" s="1544" t="s">
        <v>2710</v>
      </c>
      <c r="K1364" s="1544"/>
      <c r="L1364" s="1544"/>
      <c r="M1364" s="1544"/>
      <c r="N1364" s="1544"/>
      <c r="O1364" s="1544"/>
    </row>
    <row r="1365" spans="8:15">
      <c r="H1365" s="1543" t="s">
        <v>4271</v>
      </c>
      <c r="I1365" s="1544" t="s">
        <v>500</v>
      </c>
      <c r="J1365" s="1544" t="s">
        <v>4272</v>
      </c>
      <c r="K1365" s="1544"/>
      <c r="L1365" s="1544"/>
      <c r="M1365" s="1544"/>
      <c r="N1365" s="1544"/>
      <c r="O1365" s="1544"/>
    </row>
    <row r="1366" spans="8:15">
      <c r="H1366" s="1543" t="s">
        <v>4273</v>
      </c>
      <c r="I1366" s="1544" t="s">
        <v>500</v>
      </c>
      <c r="J1366" s="1544" t="s">
        <v>4274</v>
      </c>
      <c r="K1366" s="1544"/>
      <c r="L1366" s="1544"/>
      <c r="M1366" s="1544"/>
      <c r="N1366" s="1544"/>
      <c r="O1366" s="1544"/>
    </row>
    <row r="1367" spans="8:15">
      <c r="H1367" s="1543" t="s">
        <v>4275</v>
      </c>
      <c r="I1367" s="1544" t="s">
        <v>500</v>
      </c>
      <c r="J1367" s="1544" t="s">
        <v>4276</v>
      </c>
      <c r="K1367" s="1544"/>
      <c r="L1367" s="1544"/>
      <c r="M1367" s="1544"/>
      <c r="N1367" s="1544"/>
      <c r="O1367" s="1544"/>
    </row>
    <row r="1368" spans="8:15">
      <c r="H1368" s="1543" t="s">
        <v>4277</v>
      </c>
      <c r="I1368" s="1544" t="s">
        <v>500</v>
      </c>
      <c r="J1368" s="1544" t="s">
        <v>4278</v>
      </c>
      <c r="K1368" s="1544"/>
      <c r="L1368" s="1544"/>
      <c r="M1368" s="1544"/>
      <c r="N1368" s="1544"/>
      <c r="O1368" s="1544"/>
    </row>
    <row r="1369" spans="8:15">
      <c r="H1369" s="1543" t="s">
        <v>4279</v>
      </c>
      <c r="I1369" s="1544" t="s">
        <v>500</v>
      </c>
      <c r="J1369" s="1544" t="s">
        <v>4280</v>
      </c>
      <c r="K1369" s="1544"/>
      <c r="L1369" s="1544"/>
      <c r="M1369" s="1544"/>
      <c r="N1369" s="1544"/>
      <c r="O1369" s="1544"/>
    </row>
    <row r="1370" spans="8:15">
      <c r="H1370" s="1543" t="s">
        <v>4281</v>
      </c>
      <c r="I1370" s="1544" t="s">
        <v>500</v>
      </c>
      <c r="J1370" s="1544" t="s">
        <v>4282</v>
      </c>
      <c r="K1370" s="1544"/>
      <c r="L1370" s="1544"/>
      <c r="M1370" s="1544"/>
      <c r="N1370" s="1544"/>
      <c r="O1370" s="1544"/>
    </row>
    <row r="1371" spans="8:15">
      <c r="H1371" s="1543" t="s">
        <v>4283</v>
      </c>
      <c r="I1371" s="1544" t="s">
        <v>500</v>
      </c>
      <c r="J1371" s="1544" t="s">
        <v>4284</v>
      </c>
      <c r="K1371" s="1544"/>
      <c r="L1371" s="1544"/>
      <c r="M1371" s="1544"/>
      <c r="N1371" s="1544"/>
      <c r="O1371" s="1544"/>
    </row>
    <row r="1372" spans="8:15">
      <c r="H1372" s="1543" t="s">
        <v>4285</v>
      </c>
      <c r="I1372" s="1544" t="s">
        <v>500</v>
      </c>
      <c r="J1372" s="1544" t="s">
        <v>4286</v>
      </c>
      <c r="K1372" s="1544"/>
      <c r="L1372" s="1544"/>
      <c r="M1372" s="1544"/>
      <c r="N1372" s="1544"/>
      <c r="O1372" s="1544"/>
    </row>
    <row r="1373" spans="8:15">
      <c r="H1373" s="1543" t="s">
        <v>4287</v>
      </c>
      <c r="I1373" s="1544" t="s">
        <v>500</v>
      </c>
      <c r="J1373" s="1544" t="s">
        <v>4288</v>
      </c>
      <c r="K1373" s="1544"/>
      <c r="L1373" s="1544"/>
      <c r="M1373" s="1544"/>
      <c r="N1373" s="1544"/>
      <c r="O1373" s="1544"/>
    </row>
    <row r="1374" spans="8:15">
      <c r="H1374" s="1543" t="s">
        <v>4289</v>
      </c>
      <c r="I1374" s="1544" t="s">
        <v>500</v>
      </c>
      <c r="J1374" s="1544" t="s">
        <v>4290</v>
      </c>
      <c r="K1374" s="1544"/>
      <c r="L1374" s="1544"/>
      <c r="M1374" s="1544"/>
      <c r="N1374" s="1544"/>
      <c r="O1374" s="1544"/>
    </row>
    <row r="1375" spans="8:15">
      <c r="H1375" s="1543" t="s">
        <v>4291</v>
      </c>
      <c r="I1375" s="1544" t="s">
        <v>500</v>
      </c>
      <c r="J1375" s="1544" t="s">
        <v>4292</v>
      </c>
      <c r="K1375" s="1544"/>
      <c r="L1375" s="1544"/>
      <c r="M1375" s="1544"/>
      <c r="N1375" s="1544"/>
      <c r="O1375" s="1544"/>
    </row>
    <row r="1376" spans="8:15">
      <c r="H1376" s="1543" t="s">
        <v>4293</v>
      </c>
      <c r="I1376" s="1544" t="s">
        <v>500</v>
      </c>
      <c r="J1376" s="1544" t="s">
        <v>4294</v>
      </c>
      <c r="K1376" s="1544"/>
      <c r="L1376" s="1544"/>
      <c r="M1376" s="1544"/>
      <c r="N1376" s="1544"/>
      <c r="O1376" s="1544"/>
    </row>
    <row r="1377" spans="8:15">
      <c r="H1377" s="1543" t="s">
        <v>4295</v>
      </c>
      <c r="I1377" s="1544" t="s">
        <v>500</v>
      </c>
      <c r="J1377" s="1544" t="s">
        <v>4296</v>
      </c>
      <c r="K1377" s="1544"/>
      <c r="L1377" s="1544"/>
      <c r="M1377" s="1544"/>
      <c r="N1377" s="1544"/>
      <c r="O1377" s="1544"/>
    </row>
    <row r="1378" spans="8:15">
      <c r="H1378" s="1543" t="s">
        <v>4297</v>
      </c>
      <c r="I1378" s="1544" t="s">
        <v>500</v>
      </c>
      <c r="J1378" s="1544" t="s">
        <v>4298</v>
      </c>
      <c r="K1378" s="1544"/>
      <c r="L1378" s="1544"/>
      <c r="M1378" s="1544"/>
      <c r="N1378" s="1544"/>
      <c r="O1378" s="1544"/>
    </row>
    <row r="1379" spans="8:15">
      <c r="H1379" s="1543" t="s">
        <v>4299</v>
      </c>
      <c r="I1379" s="1544" t="s">
        <v>500</v>
      </c>
      <c r="J1379" s="1544" t="s">
        <v>4300</v>
      </c>
      <c r="K1379" s="1544"/>
      <c r="L1379" s="1544"/>
      <c r="M1379" s="1544"/>
      <c r="N1379" s="1544"/>
      <c r="O1379" s="1544"/>
    </row>
    <row r="1380" spans="8:15">
      <c r="H1380" s="1543" t="s">
        <v>4301</v>
      </c>
      <c r="I1380" s="1544" t="s">
        <v>500</v>
      </c>
      <c r="J1380" s="1544" t="s">
        <v>4302</v>
      </c>
      <c r="K1380" s="1544"/>
      <c r="L1380" s="1544"/>
      <c r="M1380" s="1544"/>
      <c r="N1380" s="1544"/>
      <c r="O1380" s="1544"/>
    </row>
    <row r="1381" spans="8:15">
      <c r="H1381" s="1543" t="s">
        <v>4303</v>
      </c>
      <c r="I1381" s="1544" t="s">
        <v>500</v>
      </c>
      <c r="J1381" s="1544" t="s">
        <v>4304</v>
      </c>
      <c r="K1381" s="1544"/>
      <c r="L1381" s="1544"/>
      <c r="M1381" s="1544"/>
      <c r="N1381" s="1544"/>
      <c r="O1381" s="1544"/>
    </row>
    <row r="1382" spans="8:15">
      <c r="H1382" s="1543" t="s">
        <v>4305</v>
      </c>
      <c r="I1382" s="1544" t="s">
        <v>500</v>
      </c>
      <c r="J1382" s="1544" t="s">
        <v>4306</v>
      </c>
      <c r="K1382" s="1544"/>
      <c r="L1382" s="1544"/>
      <c r="M1382" s="1544"/>
      <c r="N1382" s="1544"/>
      <c r="O1382" s="1544"/>
    </row>
    <row r="1383" spans="8:15">
      <c r="H1383" s="1543" t="s">
        <v>4307</v>
      </c>
      <c r="I1383" s="1544" t="s">
        <v>500</v>
      </c>
      <c r="J1383" s="1544" t="s">
        <v>4308</v>
      </c>
      <c r="K1383" s="1544"/>
      <c r="L1383" s="1544"/>
      <c r="M1383" s="1544"/>
      <c r="N1383" s="1544"/>
      <c r="O1383" s="1544"/>
    </row>
    <row r="1384" spans="8:15">
      <c r="H1384" s="1543" t="s">
        <v>4309</v>
      </c>
      <c r="I1384" s="1544" t="s">
        <v>500</v>
      </c>
      <c r="J1384" s="1544" t="s">
        <v>3612</v>
      </c>
      <c r="K1384" s="1544"/>
      <c r="L1384" s="1544"/>
      <c r="M1384" s="1544"/>
      <c r="N1384" s="1544"/>
      <c r="O1384" s="1544"/>
    </row>
    <row r="1385" spans="8:15">
      <c r="H1385" s="1543" t="s">
        <v>4310</v>
      </c>
      <c r="I1385" s="1544" t="s">
        <v>500</v>
      </c>
      <c r="J1385" s="1544" t="s">
        <v>4311</v>
      </c>
      <c r="K1385" s="1544"/>
      <c r="L1385" s="1544"/>
      <c r="M1385" s="1544"/>
      <c r="N1385" s="1544"/>
      <c r="O1385" s="1544"/>
    </row>
    <row r="1386" spans="8:15">
      <c r="H1386" s="1543" t="s">
        <v>4312</v>
      </c>
      <c r="I1386" s="1544" t="s">
        <v>501</v>
      </c>
      <c r="J1386" s="1544"/>
      <c r="K1386" s="1544">
        <f>ROW()</f>
        <v>1386</v>
      </c>
      <c r="L1386" s="1544">
        <f>K1386+COUNTIF($I$122:$I$1909,I1386)-1</f>
        <v>1416</v>
      </c>
      <c r="M1386" s="1544"/>
      <c r="N1386" s="1544"/>
      <c r="O1386" s="1544"/>
    </row>
    <row r="1387" spans="8:15">
      <c r="H1387" s="1543" t="s">
        <v>1333</v>
      </c>
      <c r="I1387" s="1544" t="s">
        <v>501</v>
      </c>
      <c r="J1387" s="1544" t="s">
        <v>1332</v>
      </c>
      <c r="K1387" s="1544"/>
      <c r="L1387" s="1544"/>
      <c r="M1387" s="1544"/>
      <c r="N1387" s="1544"/>
      <c r="O1387" s="1544"/>
    </row>
    <row r="1388" spans="8:15">
      <c r="H1388" s="1543" t="s">
        <v>4313</v>
      </c>
      <c r="I1388" s="1544" t="s">
        <v>501</v>
      </c>
      <c r="J1388" s="1544" t="s">
        <v>4314</v>
      </c>
      <c r="K1388" s="1544"/>
      <c r="L1388" s="1544"/>
      <c r="M1388" s="1544"/>
      <c r="N1388" s="1544"/>
      <c r="O1388" s="1544"/>
    </row>
    <row r="1389" spans="8:15">
      <c r="H1389" s="1543" t="s">
        <v>4315</v>
      </c>
      <c r="I1389" s="1544" t="s">
        <v>501</v>
      </c>
      <c r="J1389" s="1544" t="s">
        <v>4316</v>
      </c>
      <c r="K1389" s="1544"/>
      <c r="L1389" s="1544"/>
      <c r="M1389" s="1544"/>
      <c r="N1389" s="1544"/>
      <c r="O1389" s="1544"/>
    </row>
    <row r="1390" spans="8:15">
      <c r="H1390" s="1543" t="s">
        <v>4317</v>
      </c>
      <c r="I1390" s="1544" t="s">
        <v>501</v>
      </c>
      <c r="J1390" s="1544" t="s">
        <v>4318</v>
      </c>
      <c r="K1390" s="1544"/>
      <c r="L1390" s="1544"/>
      <c r="M1390" s="1544"/>
      <c r="N1390" s="1544"/>
      <c r="O1390" s="1544"/>
    </row>
    <row r="1391" spans="8:15">
      <c r="H1391" s="1543" t="s">
        <v>4319</v>
      </c>
      <c r="I1391" s="1544" t="s">
        <v>501</v>
      </c>
      <c r="J1391" s="1544" t="s">
        <v>4320</v>
      </c>
      <c r="K1391" s="1544"/>
      <c r="L1391" s="1544"/>
      <c r="M1391" s="1544"/>
      <c r="N1391" s="1544"/>
      <c r="O1391" s="1544"/>
    </row>
    <row r="1392" spans="8:15">
      <c r="H1392" s="1543" t="s">
        <v>4321</v>
      </c>
      <c r="I1392" s="1544" t="s">
        <v>501</v>
      </c>
      <c r="J1392" s="1544" t="s">
        <v>4322</v>
      </c>
      <c r="K1392" s="1544"/>
      <c r="L1392" s="1544"/>
      <c r="M1392" s="1544"/>
      <c r="N1392" s="1544"/>
      <c r="O1392" s="1544"/>
    </row>
    <row r="1393" spans="8:15">
      <c r="H1393" s="1543" t="s">
        <v>4323</v>
      </c>
      <c r="I1393" s="1544" t="s">
        <v>501</v>
      </c>
      <c r="J1393" s="1544" t="s">
        <v>4324</v>
      </c>
      <c r="K1393" s="1544"/>
      <c r="L1393" s="1544"/>
      <c r="M1393" s="1544"/>
      <c r="N1393" s="1544"/>
      <c r="O1393" s="1544"/>
    </row>
    <row r="1394" spans="8:15">
      <c r="H1394" s="1543" t="s">
        <v>4325</v>
      </c>
      <c r="I1394" s="1544" t="s">
        <v>501</v>
      </c>
      <c r="J1394" s="1544" t="s">
        <v>4326</v>
      </c>
      <c r="K1394" s="1544"/>
      <c r="L1394" s="1544"/>
      <c r="M1394" s="1544"/>
      <c r="N1394" s="1544"/>
      <c r="O1394" s="1544"/>
    </row>
    <row r="1395" spans="8:15">
      <c r="H1395" s="1543" t="s">
        <v>4327</v>
      </c>
      <c r="I1395" s="1544" t="s">
        <v>501</v>
      </c>
      <c r="J1395" s="1544" t="s">
        <v>4328</v>
      </c>
      <c r="K1395" s="1544"/>
      <c r="L1395" s="1544"/>
      <c r="M1395" s="1544"/>
      <c r="N1395" s="1544"/>
      <c r="O1395" s="1544"/>
    </row>
    <row r="1396" spans="8:15">
      <c r="H1396" s="1543" t="s">
        <v>4329</v>
      </c>
      <c r="I1396" s="1544" t="s">
        <v>501</v>
      </c>
      <c r="J1396" s="1544" t="s">
        <v>4330</v>
      </c>
      <c r="K1396" s="1544"/>
      <c r="L1396" s="1544"/>
      <c r="M1396" s="1544"/>
      <c r="N1396" s="1544"/>
      <c r="O1396" s="1544"/>
    </row>
    <row r="1397" spans="8:15">
      <c r="H1397" s="1543" t="s">
        <v>4331</v>
      </c>
      <c r="I1397" s="1544" t="s">
        <v>501</v>
      </c>
      <c r="J1397" s="1544" t="s">
        <v>4332</v>
      </c>
      <c r="K1397" s="1544"/>
      <c r="L1397" s="1544"/>
      <c r="M1397" s="1544"/>
      <c r="N1397" s="1544"/>
      <c r="O1397" s="1544"/>
    </row>
    <row r="1398" spans="8:15">
      <c r="H1398" s="1543" t="s">
        <v>4333</v>
      </c>
      <c r="I1398" s="1544" t="s">
        <v>501</v>
      </c>
      <c r="J1398" s="1544" t="s">
        <v>4334</v>
      </c>
      <c r="K1398" s="1544"/>
      <c r="L1398" s="1544"/>
      <c r="M1398" s="1544"/>
      <c r="N1398" s="1544"/>
      <c r="O1398" s="1544"/>
    </row>
    <row r="1399" spans="8:15">
      <c r="H1399" s="1543" t="s">
        <v>4335</v>
      </c>
      <c r="I1399" s="1544" t="s">
        <v>501</v>
      </c>
      <c r="J1399" s="1544" t="s">
        <v>4336</v>
      </c>
      <c r="K1399" s="1544"/>
      <c r="L1399" s="1544"/>
      <c r="M1399" s="1544"/>
      <c r="N1399" s="1544"/>
      <c r="O1399" s="1544"/>
    </row>
    <row r="1400" spans="8:15">
      <c r="H1400" s="1543" t="s">
        <v>4337</v>
      </c>
      <c r="I1400" s="1544" t="s">
        <v>501</v>
      </c>
      <c r="J1400" s="1544" t="s">
        <v>4338</v>
      </c>
      <c r="K1400" s="1544"/>
      <c r="L1400" s="1544"/>
      <c r="M1400" s="1544"/>
      <c r="N1400" s="1544"/>
      <c r="O1400" s="1544"/>
    </row>
    <row r="1401" spans="8:15">
      <c r="H1401" s="1543" t="s">
        <v>4339</v>
      </c>
      <c r="I1401" s="1544" t="s">
        <v>501</v>
      </c>
      <c r="J1401" s="1544" t="s">
        <v>4340</v>
      </c>
      <c r="K1401" s="1544"/>
      <c r="L1401" s="1544"/>
      <c r="M1401" s="1544"/>
      <c r="N1401" s="1544"/>
      <c r="O1401" s="1544"/>
    </row>
    <row r="1402" spans="8:15">
      <c r="H1402" s="1543" t="s">
        <v>4341</v>
      </c>
      <c r="I1402" s="1544" t="s">
        <v>501</v>
      </c>
      <c r="J1402" s="1544" t="s">
        <v>4342</v>
      </c>
      <c r="K1402" s="1544"/>
      <c r="L1402" s="1544"/>
      <c r="M1402" s="1544"/>
      <c r="N1402" s="1544"/>
      <c r="O1402" s="1544"/>
    </row>
    <row r="1403" spans="8:15">
      <c r="H1403" s="1543" t="s">
        <v>4343</v>
      </c>
      <c r="I1403" s="1544" t="s">
        <v>501</v>
      </c>
      <c r="J1403" s="1544" t="s">
        <v>3515</v>
      </c>
      <c r="K1403" s="1544"/>
      <c r="L1403" s="1544"/>
      <c r="M1403" s="1544"/>
      <c r="N1403" s="1544"/>
      <c r="O1403" s="1544"/>
    </row>
    <row r="1404" spans="8:15">
      <c r="H1404" s="1543" t="s">
        <v>4344</v>
      </c>
      <c r="I1404" s="1544" t="s">
        <v>501</v>
      </c>
      <c r="J1404" s="1544" t="s">
        <v>2323</v>
      </c>
      <c r="K1404" s="1544"/>
      <c r="L1404" s="1544"/>
      <c r="M1404" s="1544"/>
      <c r="N1404" s="1544"/>
      <c r="O1404" s="1544"/>
    </row>
    <row r="1405" spans="8:15">
      <c r="H1405" s="1543" t="s">
        <v>4345</v>
      </c>
      <c r="I1405" s="1544" t="s">
        <v>501</v>
      </c>
      <c r="J1405" s="1544" t="s">
        <v>4346</v>
      </c>
      <c r="K1405" s="1544"/>
      <c r="L1405" s="1544"/>
      <c r="M1405" s="1544"/>
      <c r="N1405" s="1544"/>
      <c r="O1405" s="1544"/>
    </row>
    <row r="1406" spans="8:15">
      <c r="H1406" s="1543" t="s">
        <v>4347</v>
      </c>
      <c r="I1406" s="1544" t="s">
        <v>501</v>
      </c>
      <c r="J1406" s="1544" t="s">
        <v>4348</v>
      </c>
      <c r="K1406" s="1544"/>
      <c r="L1406" s="1544"/>
      <c r="M1406" s="1544"/>
      <c r="N1406" s="1544"/>
      <c r="O1406" s="1544"/>
    </row>
    <row r="1407" spans="8:15">
      <c r="H1407" s="1543" t="s">
        <v>4349</v>
      </c>
      <c r="I1407" s="1544" t="s">
        <v>501</v>
      </c>
      <c r="J1407" s="1544" t="s">
        <v>4350</v>
      </c>
      <c r="K1407" s="1544"/>
      <c r="L1407" s="1544"/>
      <c r="M1407" s="1544"/>
      <c r="N1407" s="1544"/>
      <c r="O1407" s="1544"/>
    </row>
    <row r="1408" spans="8:15">
      <c r="H1408" s="1543" t="s">
        <v>4351</v>
      </c>
      <c r="I1408" s="1544" t="s">
        <v>501</v>
      </c>
      <c r="J1408" s="1544" t="s">
        <v>4352</v>
      </c>
      <c r="K1408" s="1544"/>
      <c r="L1408" s="1544"/>
      <c r="M1408" s="1544"/>
      <c r="N1408" s="1544"/>
      <c r="O1408" s="1544"/>
    </row>
    <row r="1409" spans="8:15">
      <c r="H1409" s="1543" t="s">
        <v>4353</v>
      </c>
      <c r="I1409" s="1544" t="s">
        <v>501</v>
      </c>
      <c r="J1409" s="1544" t="s">
        <v>4354</v>
      </c>
      <c r="K1409" s="1544"/>
      <c r="L1409" s="1544"/>
      <c r="M1409" s="1544"/>
      <c r="N1409" s="1544"/>
      <c r="O1409" s="1544"/>
    </row>
    <row r="1410" spans="8:15">
      <c r="H1410" s="1543" t="s">
        <v>4355</v>
      </c>
      <c r="I1410" s="1544" t="s">
        <v>501</v>
      </c>
      <c r="J1410" s="1544" t="s">
        <v>4356</v>
      </c>
      <c r="K1410" s="1544"/>
      <c r="L1410" s="1544"/>
      <c r="M1410" s="1544"/>
      <c r="N1410" s="1544"/>
      <c r="O1410" s="1544"/>
    </row>
    <row r="1411" spans="8:15">
      <c r="H1411" s="1543" t="s">
        <v>4357</v>
      </c>
      <c r="I1411" s="1544" t="s">
        <v>501</v>
      </c>
      <c r="J1411" s="1544" t="s">
        <v>4358</v>
      </c>
      <c r="K1411" s="1544"/>
      <c r="L1411" s="1544"/>
      <c r="M1411" s="1544"/>
      <c r="N1411" s="1544"/>
      <c r="O1411" s="1544"/>
    </row>
    <row r="1412" spans="8:15">
      <c r="H1412" s="1543" t="s">
        <v>4359</v>
      </c>
      <c r="I1412" s="1544" t="s">
        <v>501</v>
      </c>
      <c r="J1412" s="1544" t="s">
        <v>4360</v>
      </c>
      <c r="K1412" s="1544"/>
      <c r="L1412" s="1544"/>
      <c r="M1412" s="1544"/>
      <c r="N1412" s="1544"/>
      <c r="O1412" s="1544"/>
    </row>
    <row r="1413" spans="8:15">
      <c r="H1413" s="1543" t="s">
        <v>4361</v>
      </c>
      <c r="I1413" s="1544" t="s">
        <v>501</v>
      </c>
      <c r="J1413" s="1544" t="s">
        <v>4362</v>
      </c>
      <c r="K1413" s="1544"/>
      <c r="L1413" s="1544"/>
      <c r="M1413" s="1544"/>
      <c r="N1413" s="1544"/>
      <c r="O1413" s="1544"/>
    </row>
    <row r="1414" spans="8:15">
      <c r="H1414" s="1543" t="s">
        <v>4363</v>
      </c>
      <c r="I1414" s="1544" t="s">
        <v>501</v>
      </c>
      <c r="J1414" s="1544" t="s">
        <v>4364</v>
      </c>
      <c r="K1414" s="1544"/>
      <c r="L1414" s="1544"/>
      <c r="M1414" s="1544"/>
      <c r="N1414" s="1544"/>
      <c r="O1414" s="1544"/>
    </row>
    <row r="1415" spans="8:15">
      <c r="H1415" s="1543" t="s">
        <v>4365</v>
      </c>
      <c r="I1415" s="1544" t="s">
        <v>501</v>
      </c>
      <c r="J1415" s="1544" t="s">
        <v>4366</v>
      </c>
      <c r="K1415" s="1544"/>
      <c r="L1415" s="1544"/>
      <c r="M1415" s="1544"/>
      <c r="N1415" s="1544"/>
      <c r="O1415" s="1544"/>
    </row>
    <row r="1416" spans="8:15">
      <c r="H1416" s="1543" t="s">
        <v>4367</v>
      </c>
      <c r="I1416" s="1544" t="s">
        <v>501</v>
      </c>
      <c r="J1416" s="1544" t="s">
        <v>4368</v>
      </c>
      <c r="K1416" s="1544"/>
      <c r="L1416" s="1544"/>
      <c r="M1416" s="1544"/>
      <c r="N1416" s="1544"/>
      <c r="O1416" s="1544"/>
    </row>
    <row r="1417" spans="8:15">
      <c r="H1417" s="1543" t="s">
        <v>4369</v>
      </c>
      <c r="I1417" s="1544" t="s">
        <v>610</v>
      </c>
      <c r="J1417" s="1544"/>
      <c r="K1417" s="1544">
        <f>ROW()</f>
        <v>1417</v>
      </c>
      <c r="L1417" s="1544">
        <f>K1417+COUNTIF($I$122:$I$1909,I1417)-1</f>
        <v>1436</v>
      </c>
      <c r="M1417" s="1544"/>
      <c r="N1417" s="1544"/>
      <c r="O1417" s="1544"/>
    </row>
    <row r="1418" spans="8:15">
      <c r="H1418" s="1543" t="s">
        <v>1427</v>
      </c>
      <c r="I1418" s="1544" t="s">
        <v>610</v>
      </c>
      <c r="J1418" s="1544" t="s">
        <v>1426</v>
      </c>
      <c r="K1418" s="1544"/>
      <c r="L1418" s="1544"/>
      <c r="M1418" s="1544"/>
      <c r="N1418" s="1544"/>
      <c r="O1418" s="1544"/>
    </row>
    <row r="1419" spans="8:15">
      <c r="H1419" s="1543" t="s">
        <v>4370</v>
      </c>
      <c r="I1419" s="1544" t="s">
        <v>610</v>
      </c>
      <c r="J1419" s="1544" t="s">
        <v>4371</v>
      </c>
      <c r="K1419" s="1544"/>
      <c r="L1419" s="1544"/>
      <c r="M1419" s="1544"/>
      <c r="N1419" s="1544"/>
      <c r="O1419" s="1544"/>
    </row>
    <row r="1420" spans="8:15">
      <c r="H1420" s="1543" t="s">
        <v>4372</v>
      </c>
      <c r="I1420" s="1544" t="s">
        <v>610</v>
      </c>
      <c r="J1420" s="1544" t="s">
        <v>4373</v>
      </c>
      <c r="K1420" s="1544"/>
      <c r="L1420" s="1544"/>
      <c r="M1420" s="1544"/>
      <c r="N1420" s="1544"/>
      <c r="O1420" s="1544"/>
    </row>
    <row r="1421" spans="8:15">
      <c r="H1421" s="1543" t="s">
        <v>4374</v>
      </c>
      <c r="I1421" s="1544" t="s">
        <v>610</v>
      </c>
      <c r="J1421" s="1544" t="s">
        <v>4375</v>
      </c>
      <c r="K1421" s="1544"/>
      <c r="L1421" s="1544"/>
      <c r="M1421" s="1544"/>
      <c r="N1421" s="1544"/>
      <c r="O1421" s="1544"/>
    </row>
    <row r="1422" spans="8:15">
      <c r="H1422" s="1543" t="s">
        <v>4376</v>
      </c>
      <c r="I1422" s="1544" t="s">
        <v>610</v>
      </c>
      <c r="J1422" s="1544" t="s">
        <v>4377</v>
      </c>
      <c r="K1422" s="1544"/>
      <c r="L1422" s="1544"/>
      <c r="M1422" s="1544"/>
      <c r="N1422" s="1544"/>
      <c r="O1422" s="1544"/>
    </row>
    <row r="1423" spans="8:15">
      <c r="H1423" s="1543" t="s">
        <v>4378</v>
      </c>
      <c r="I1423" s="1544" t="s">
        <v>610</v>
      </c>
      <c r="J1423" s="1544" t="s">
        <v>4379</v>
      </c>
      <c r="K1423" s="1544"/>
      <c r="L1423" s="1544"/>
      <c r="M1423" s="1544"/>
      <c r="N1423" s="1544"/>
      <c r="O1423" s="1544"/>
    </row>
    <row r="1424" spans="8:15">
      <c r="H1424" s="1543" t="s">
        <v>4380</v>
      </c>
      <c r="I1424" s="1544" t="s">
        <v>610</v>
      </c>
      <c r="J1424" s="1544" t="s">
        <v>4381</v>
      </c>
      <c r="K1424" s="1544"/>
      <c r="L1424" s="1544"/>
      <c r="M1424" s="1544"/>
      <c r="N1424" s="1544"/>
      <c r="O1424" s="1544"/>
    </row>
    <row r="1425" spans="8:15">
      <c r="H1425" s="1543" t="s">
        <v>4382</v>
      </c>
      <c r="I1425" s="1544" t="s">
        <v>610</v>
      </c>
      <c r="J1425" s="1544" t="s">
        <v>4383</v>
      </c>
      <c r="K1425" s="1544"/>
      <c r="L1425" s="1544"/>
      <c r="M1425" s="1544"/>
      <c r="N1425" s="1544"/>
      <c r="O1425" s="1544"/>
    </row>
    <row r="1426" spans="8:15">
      <c r="H1426" s="1543" t="s">
        <v>4384</v>
      </c>
      <c r="I1426" s="1544" t="s">
        <v>610</v>
      </c>
      <c r="J1426" s="1544" t="s">
        <v>4385</v>
      </c>
      <c r="K1426" s="1544"/>
      <c r="L1426" s="1544"/>
      <c r="M1426" s="1544"/>
      <c r="N1426" s="1544"/>
      <c r="O1426" s="1544"/>
    </row>
    <row r="1427" spans="8:15">
      <c r="H1427" s="1543" t="s">
        <v>4386</v>
      </c>
      <c r="I1427" s="1544" t="s">
        <v>610</v>
      </c>
      <c r="J1427" s="1544" t="s">
        <v>4387</v>
      </c>
      <c r="K1427" s="1544"/>
      <c r="L1427" s="1544"/>
      <c r="M1427" s="1544"/>
      <c r="N1427" s="1544"/>
      <c r="O1427" s="1544"/>
    </row>
    <row r="1428" spans="8:15">
      <c r="H1428" s="1543" t="s">
        <v>4388</v>
      </c>
      <c r="I1428" s="1544" t="s">
        <v>610</v>
      </c>
      <c r="J1428" s="1544" t="s">
        <v>4389</v>
      </c>
      <c r="K1428" s="1544"/>
      <c r="L1428" s="1544"/>
      <c r="M1428" s="1544"/>
      <c r="N1428" s="1544"/>
      <c r="O1428" s="1544"/>
    </row>
    <row r="1429" spans="8:15">
      <c r="H1429" s="1543" t="s">
        <v>4390</v>
      </c>
      <c r="I1429" s="1544" t="s">
        <v>610</v>
      </c>
      <c r="J1429" s="1544" t="s">
        <v>4391</v>
      </c>
      <c r="K1429" s="1544"/>
      <c r="L1429" s="1544"/>
      <c r="M1429" s="1544"/>
      <c r="N1429" s="1544"/>
      <c r="O1429" s="1544"/>
    </row>
    <row r="1430" spans="8:15">
      <c r="H1430" s="1543" t="s">
        <v>4392</v>
      </c>
      <c r="I1430" s="1544" t="s">
        <v>610</v>
      </c>
      <c r="J1430" s="1544" t="s">
        <v>4393</v>
      </c>
      <c r="K1430" s="1544"/>
      <c r="L1430" s="1544"/>
      <c r="M1430" s="1544"/>
      <c r="N1430" s="1544"/>
      <c r="O1430" s="1544"/>
    </row>
    <row r="1431" spans="8:15">
      <c r="H1431" s="1543" t="s">
        <v>4394</v>
      </c>
      <c r="I1431" s="1544" t="s">
        <v>610</v>
      </c>
      <c r="J1431" s="1544" t="s">
        <v>4395</v>
      </c>
      <c r="K1431" s="1544"/>
      <c r="L1431" s="1544"/>
      <c r="M1431" s="1544"/>
      <c r="N1431" s="1544"/>
      <c r="O1431" s="1544"/>
    </row>
    <row r="1432" spans="8:15">
      <c r="H1432" s="1543" t="s">
        <v>4396</v>
      </c>
      <c r="I1432" s="1544" t="s">
        <v>610</v>
      </c>
      <c r="J1432" s="1544" t="s">
        <v>2466</v>
      </c>
      <c r="K1432" s="1544"/>
      <c r="L1432" s="1544"/>
      <c r="M1432" s="1544"/>
      <c r="N1432" s="1544"/>
      <c r="O1432" s="1544"/>
    </row>
    <row r="1433" spans="8:15">
      <c r="H1433" s="1543" t="s">
        <v>4397</v>
      </c>
      <c r="I1433" s="1544" t="s">
        <v>610</v>
      </c>
      <c r="J1433" s="1544" t="s">
        <v>4398</v>
      </c>
      <c r="K1433" s="1544"/>
      <c r="L1433" s="1544"/>
      <c r="M1433" s="1544"/>
      <c r="N1433" s="1544"/>
      <c r="O1433" s="1544"/>
    </row>
    <row r="1434" spans="8:15">
      <c r="H1434" s="1543" t="s">
        <v>4399</v>
      </c>
      <c r="I1434" s="1544" t="s">
        <v>610</v>
      </c>
      <c r="J1434" s="1544" t="s">
        <v>4400</v>
      </c>
      <c r="K1434" s="1544"/>
      <c r="L1434" s="1544"/>
      <c r="M1434" s="1544"/>
      <c r="N1434" s="1544"/>
      <c r="O1434" s="1544"/>
    </row>
    <row r="1435" spans="8:15">
      <c r="H1435" s="1543" t="s">
        <v>4401</v>
      </c>
      <c r="I1435" s="1544" t="s">
        <v>610</v>
      </c>
      <c r="J1435" s="1544" t="s">
        <v>4042</v>
      </c>
      <c r="K1435" s="1544"/>
      <c r="L1435" s="1544"/>
      <c r="M1435" s="1544"/>
      <c r="N1435" s="1544"/>
      <c r="O1435" s="1544"/>
    </row>
    <row r="1436" spans="8:15">
      <c r="H1436" s="1543" t="s">
        <v>4402</v>
      </c>
      <c r="I1436" s="1544" t="s">
        <v>610</v>
      </c>
      <c r="J1436" s="1544" t="s">
        <v>4403</v>
      </c>
      <c r="K1436" s="1544"/>
      <c r="L1436" s="1544"/>
      <c r="M1436" s="1544"/>
      <c r="N1436" s="1544"/>
      <c r="O1436" s="1544"/>
    </row>
    <row r="1437" spans="8:15">
      <c r="H1437" s="1543" t="s">
        <v>4404</v>
      </c>
      <c r="I1437" s="1544" t="s">
        <v>2080</v>
      </c>
      <c r="J1437" s="1544"/>
      <c r="K1437" s="1544">
        <f>ROW()</f>
        <v>1437</v>
      </c>
      <c r="L1437" s="1544">
        <f>K1437+COUNTIF($I$122:$I$1909,I1437)-1</f>
        <v>1456</v>
      </c>
      <c r="M1437" s="1544"/>
      <c r="N1437" s="1544"/>
      <c r="O1437" s="1544"/>
    </row>
    <row r="1438" spans="8:15">
      <c r="H1438" s="1543" t="s">
        <v>1429</v>
      </c>
      <c r="I1438" s="1544" t="s">
        <v>2080</v>
      </c>
      <c r="J1438" s="1544" t="s">
        <v>1428</v>
      </c>
      <c r="K1438" s="1544"/>
      <c r="L1438" s="1544"/>
      <c r="M1438" s="1544"/>
      <c r="N1438" s="1544"/>
      <c r="O1438" s="1544"/>
    </row>
    <row r="1439" spans="8:15">
      <c r="H1439" s="1543" t="s">
        <v>4405</v>
      </c>
      <c r="I1439" s="1544" t="s">
        <v>2080</v>
      </c>
      <c r="J1439" s="1544" t="s">
        <v>4406</v>
      </c>
      <c r="K1439" s="1544"/>
      <c r="L1439" s="1544"/>
      <c r="M1439" s="1544"/>
      <c r="N1439" s="1544"/>
      <c r="O1439" s="1544"/>
    </row>
    <row r="1440" spans="8:15">
      <c r="H1440" s="1543" t="s">
        <v>4407</v>
      </c>
      <c r="I1440" s="1544" t="s">
        <v>2080</v>
      </c>
      <c r="J1440" s="1544" t="s">
        <v>4408</v>
      </c>
      <c r="K1440" s="1544"/>
      <c r="L1440" s="1544"/>
      <c r="M1440" s="1544"/>
      <c r="N1440" s="1544"/>
      <c r="O1440" s="1544"/>
    </row>
    <row r="1441" spans="8:15">
      <c r="H1441" s="1543" t="s">
        <v>4409</v>
      </c>
      <c r="I1441" s="1544" t="s">
        <v>2080</v>
      </c>
      <c r="J1441" s="1544" t="s">
        <v>4410</v>
      </c>
      <c r="K1441" s="1544"/>
      <c r="L1441" s="1544"/>
      <c r="M1441" s="1544"/>
      <c r="N1441" s="1544"/>
      <c r="O1441" s="1544"/>
    </row>
    <row r="1442" spans="8:15">
      <c r="H1442" s="1543" t="s">
        <v>4411</v>
      </c>
      <c r="I1442" s="1544" t="s">
        <v>2080</v>
      </c>
      <c r="J1442" s="1544" t="s">
        <v>4412</v>
      </c>
      <c r="K1442" s="1544"/>
      <c r="L1442" s="1544"/>
      <c r="M1442" s="1544"/>
      <c r="N1442" s="1544"/>
      <c r="O1442" s="1544"/>
    </row>
    <row r="1443" spans="8:15">
      <c r="H1443" s="1543" t="s">
        <v>4413</v>
      </c>
      <c r="I1443" s="1544" t="s">
        <v>2080</v>
      </c>
      <c r="J1443" s="1544" t="s">
        <v>4414</v>
      </c>
      <c r="K1443" s="1544"/>
      <c r="L1443" s="1544"/>
      <c r="M1443" s="1544"/>
      <c r="N1443" s="1544"/>
      <c r="O1443" s="1544"/>
    </row>
    <row r="1444" spans="8:15">
      <c r="H1444" s="1543" t="s">
        <v>4415</v>
      </c>
      <c r="I1444" s="1544" t="s">
        <v>2080</v>
      </c>
      <c r="J1444" s="1544" t="s">
        <v>4416</v>
      </c>
      <c r="K1444" s="1544"/>
      <c r="L1444" s="1544"/>
      <c r="M1444" s="1544"/>
      <c r="N1444" s="1544"/>
      <c r="O1444" s="1544"/>
    </row>
    <row r="1445" spans="8:15">
      <c r="H1445" s="1543" t="s">
        <v>4417</v>
      </c>
      <c r="I1445" s="1544" t="s">
        <v>2080</v>
      </c>
      <c r="J1445" s="1544" t="s">
        <v>4418</v>
      </c>
      <c r="K1445" s="1544"/>
      <c r="L1445" s="1544"/>
      <c r="M1445" s="1544"/>
      <c r="N1445" s="1544"/>
      <c r="O1445" s="1544"/>
    </row>
    <row r="1446" spans="8:15">
      <c r="H1446" s="1543" t="s">
        <v>4419</v>
      </c>
      <c r="I1446" s="1544" t="s">
        <v>2080</v>
      </c>
      <c r="J1446" s="1544" t="s">
        <v>4420</v>
      </c>
      <c r="K1446" s="1544"/>
      <c r="L1446" s="1544"/>
      <c r="M1446" s="1544"/>
      <c r="N1446" s="1544"/>
      <c r="O1446" s="1544"/>
    </row>
    <row r="1447" spans="8:15">
      <c r="H1447" s="1543" t="s">
        <v>4421</v>
      </c>
      <c r="I1447" s="1544" t="s">
        <v>2080</v>
      </c>
      <c r="J1447" s="1544" t="s">
        <v>4422</v>
      </c>
      <c r="K1447" s="1544"/>
      <c r="L1447" s="1544"/>
      <c r="M1447" s="1544"/>
      <c r="N1447" s="1544"/>
      <c r="O1447" s="1544"/>
    </row>
    <row r="1448" spans="8:15">
      <c r="H1448" s="1543" t="s">
        <v>4423</v>
      </c>
      <c r="I1448" s="1544" t="s">
        <v>2080</v>
      </c>
      <c r="J1448" s="1544" t="s">
        <v>4424</v>
      </c>
      <c r="K1448" s="1544"/>
      <c r="L1448" s="1544"/>
      <c r="M1448" s="1544"/>
      <c r="N1448" s="1544"/>
      <c r="O1448" s="1544"/>
    </row>
    <row r="1449" spans="8:15">
      <c r="H1449" s="1543" t="s">
        <v>4425</v>
      </c>
      <c r="I1449" s="1544" t="s">
        <v>2080</v>
      </c>
      <c r="J1449" s="1544" t="s">
        <v>2649</v>
      </c>
      <c r="K1449" s="1544"/>
      <c r="L1449" s="1544"/>
      <c r="M1449" s="1544"/>
      <c r="N1449" s="1544"/>
      <c r="O1449" s="1544"/>
    </row>
    <row r="1450" spans="8:15">
      <c r="H1450" s="1543" t="s">
        <v>4426</v>
      </c>
      <c r="I1450" s="1544" t="s">
        <v>2080</v>
      </c>
      <c r="J1450" s="1544" t="s">
        <v>4427</v>
      </c>
      <c r="K1450" s="1544"/>
      <c r="L1450" s="1544"/>
      <c r="M1450" s="1544"/>
      <c r="N1450" s="1544"/>
      <c r="O1450" s="1544"/>
    </row>
    <row r="1451" spans="8:15">
      <c r="H1451" s="1543" t="s">
        <v>4428</v>
      </c>
      <c r="I1451" s="1544" t="s">
        <v>2080</v>
      </c>
      <c r="J1451" s="1544" t="s">
        <v>4429</v>
      </c>
      <c r="K1451" s="1544"/>
      <c r="L1451" s="1544"/>
      <c r="M1451" s="1544"/>
      <c r="N1451" s="1544"/>
      <c r="O1451" s="1544"/>
    </row>
    <row r="1452" spans="8:15">
      <c r="H1452" s="1543" t="s">
        <v>4430</v>
      </c>
      <c r="I1452" s="1544" t="s">
        <v>2080</v>
      </c>
      <c r="J1452" s="1544" t="s">
        <v>4431</v>
      </c>
      <c r="K1452" s="1544"/>
      <c r="L1452" s="1544"/>
      <c r="M1452" s="1544"/>
      <c r="N1452" s="1544"/>
      <c r="O1452" s="1544"/>
    </row>
    <row r="1453" spans="8:15">
      <c r="H1453" s="1543" t="s">
        <v>4432</v>
      </c>
      <c r="I1453" s="1544" t="s">
        <v>2080</v>
      </c>
      <c r="J1453" s="1544" t="s">
        <v>4433</v>
      </c>
      <c r="K1453" s="1544"/>
      <c r="L1453" s="1544"/>
      <c r="M1453" s="1544"/>
      <c r="N1453" s="1544"/>
      <c r="O1453" s="1544"/>
    </row>
    <row r="1454" spans="8:15">
      <c r="H1454" s="1543" t="s">
        <v>4434</v>
      </c>
      <c r="I1454" s="1544" t="s">
        <v>2080</v>
      </c>
      <c r="J1454" s="1544" t="s">
        <v>4435</v>
      </c>
      <c r="K1454" s="1544"/>
      <c r="L1454" s="1544"/>
      <c r="M1454" s="1544"/>
      <c r="N1454" s="1544"/>
      <c r="O1454" s="1544"/>
    </row>
    <row r="1455" spans="8:15">
      <c r="H1455" s="1543" t="s">
        <v>4436</v>
      </c>
      <c r="I1455" s="1544" t="s">
        <v>2080</v>
      </c>
      <c r="J1455" s="1544" t="s">
        <v>4437</v>
      </c>
      <c r="K1455" s="1544"/>
      <c r="L1455" s="1544"/>
      <c r="M1455" s="1544"/>
      <c r="N1455" s="1544"/>
      <c r="O1455" s="1544"/>
    </row>
    <row r="1456" spans="8:15">
      <c r="H1456" s="1543" t="s">
        <v>4438</v>
      </c>
      <c r="I1456" s="1544" t="s">
        <v>2080</v>
      </c>
      <c r="J1456" s="1544" t="s">
        <v>4439</v>
      </c>
      <c r="K1456" s="1544"/>
      <c r="L1456" s="1544"/>
      <c r="M1456" s="1544"/>
      <c r="N1456" s="1544"/>
      <c r="O1456" s="1544"/>
    </row>
    <row r="1457" spans="8:15">
      <c r="H1457" s="1543" t="s">
        <v>4440</v>
      </c>
      <c r="I1457" s="1544" t="s">
        <v>502</v>
      </c>
      <c r="J1457" s="1544"/>
      <c r="K1457" s="1544">
        <f>ROW()</f>
        <v>1457</v>
      </c>
      <c r="L1457" s="1544">
        <f>K1457+COUNTIF($I$122:$I$1909,I1457)-1</f>
        <v>1484</v>
      </c>
      <c r="M1457" s="1544"/>
      <c r="N1457" s="1544"/>
      <c r="O1457" s="1544"/>
    </row>
    <row r="1458" spans="8:15">
      <c r="H1458" s="1543" t="s">
        <v>1259</v>
      </c>
      <c r="I1458" s="1544" t="s">
        <v>502</v>
      </c>
      <c r="J1458" s="1544" t="s">
        <v>1258</v>
      </c>
      <c r="K1458" s="1544"/>
      <c r="L1458" s="1544"/>
      <c r="M1458" s="1544"/>
      <c r="N1458" s="1544"/>
      <c r="O1458" s="1544"/>
    </row>
    <row r="1459" spans="8:15">
      <c r="H1459" s="1543" t="s">
        <v>1335</v>
      </c>
      <c r="I1459" s="1544" t="s">
        <v>502</v>
      </c>
      <c r="J1459" s="1544" t="s">
        <v>1334</v>
      </c>
      <c r="K1459" s="1544"/>
      <c r="L1459" s="1544"/>
      <c r="M1459" s="1544"/>
      <c r="N1459" s="1544"/>
      <c r="O1459" s="1544"/>
    </row>
    <row r="1460" spans="8:15">
      <c r="H1460" s="1543" t="s">
        <v>4441</v>
      </c>
      <c r="I1460" s="1544" t="s">
        <v>502</v>
      </c>
      <c r="J1460" s="1544" t="s">
        <v>4442</v>
      </c>
      <c r="K1460" s="1544"/>
      <c r="L1460" s="1544"/>
      <c r="M1460" s="1544"/>
      <c r="N1460" s="1544"/>
      <c r="O1460" s="1544"/>
    </row>
    <row r="1461" spans="8:15">
      <c r="H1461" s="1543" t="s">
        <v>4443</v>
      </c>
      <c r="I1461" s="1544" t="s">
        <v>502</v>
      </c>
      <c r="J1461" s="1544" t="s">
        <v>4444</v>
      </c>
      <c r="K1461" s="1544"/>
      <c r="L1461" s="1544"/>
      <c r="M1461" s="1544"/>
      <c r="N1461" s="1544"/>
      <c r="O1461" s="1544"/>
    </row>
    <row r="1462" spans="8:15">
      <c r="H1462" s="1543" t="s">
        <v>4445</v>
      </c>
      <c r="I1462" s="1544" t="s">
        <v>502</v>
      </c>
      <c r="J1462" s="1544" t="s">
        <v>4446</v>
      </c>
      <c r="K1462" s="1544"/>
      <c r="L1462" s="1544"/>
      <c r="M1462" s="1544"/>
      <c r="N1462" s="1544"/>
      <c r="O1462" s="1544"/>
    </row>
    <row r="1463" spans="8:15">
      <c r="H1463" s="1543" t="s">
        <v>4447</v>
      </c>
      <c r="I1463" s="1544" t="s">
        <v>502</v>
      </c>
      <c r="J1463" s="1544" t="s">
        <v>4448</v>
      </c>
      <c r="K1463" s="1544"/>
      <c r="L1463" s="1544"/>
      <c r="M1463" s="1544"/>
      <c r="N1463" s="1544"/>
      <c r="O1463" s="1544"/>
    </row>
    <row r="1464" spans="8:15">
      <c r="H1464" s="1543" t="s">
        <v>4449</v>
      </c>
      <c r="I1464" s="1544" t="s">
        <v>502</v>
      </c>
      <c r="J1464" s="1544" t="s">
        <v>4450</v>
      </c>
      <c r="K1464" s="1544"/>
      <c r="L1464" s="1544"/>
      <c r="M1464" s="1544"/>
      <c r="N1464" s="1544"/>
      <c r="O1464" s="1544"/>
    </row>
    <row r="1465" spans="8:15">
      <c r="H1465" s="1543" t="s">
        <v>4451</v>
      </c>
      <c r="I1465" s="1544" t="s">
        <v>502</v>
      </c>
      <c r="J1465" s="1544" t="s">
        <v>4452</v>
      </c>
      <c r="K1465" s="1544"/>
      <c r="L1465" s="1544"/>
      <c r="M1465" s="1544"/>
      <c r="N1465" s="1544"/>
      <c r="O1465" s="1544"/>
    </row>
    <row r="1466" spans="8:15">
      <c r="H1466" s="1543" t="s">
        <v>4453</v>
      </c>
      <c r="I1466" s="1544" t="s">
        <v>502</v>
      </c>
      <c r="J1466" s="1544" t="s">
        <v>4454</v>
      </c>
      <c r="K1466" s="1544"/>
      <c r="L1466" s="1544"/>
      <c r="M1466" s="1544"/>
      <c r="N1466" s="1544"/>
      <c r="O1466" s="1544"/>
    </row>
    <row r="1467" spans="8:15">
      <c r="H1467" s="1543" t="s">
        <v>4455</v>
      </c>
      <c r="I1467" s="1544" t="s">
        <v>502</v>
      </c>
      <c r="J1467" s="1544" t="s">
        <v>4456</v>
      </c>
      <c r="K1467" s="1544"/>
      <c r="L1467" s="1544"/>
      <c r="M1467" s="1544"/>
      <c r="N1467" s="1544"/>
      <c r="O1467" s="1544"/>
    </row>
    <row r="1468" spans="8:15">
      <c r="H1468" s="1543" t="s">
        <v>4457</v>
      </c>
      <c r="I1468" s="1544" t="s">
        <v>502</v>
      </c>
      <c r="J1468" s="1544" t="s">
        <v>4458</v>
      </c>
      <c r="K1468" s="1544"/>
      <c r="L1468" s="1544"/>
      <c r="M1468" s="1544"/>
      <c r="N1468" s="1544"/>
      <c r="O1468" s="1544"/>
    </row>
    <row r="1469" spans="8:15">
      <c r="H1469" s="1543" t="s">
        <v>4459</v>
      </c>
      <c r="I1469" s="1544" t="s">
        <v>502</v>
      </c>
      <c r="J1469" s="1544" t="s">
        <v>4460</v>
      </c>
      <c r="K1469" s="1544"/>
      <c r="L1469" s="1544"/>
      <c r="M1469" s="1544"/>
      <c r="N1469" s="1544"/>
      <c r="O1469" s="1544"/>
    </row>
    <row r="1470" spans="8:15">
      <c r="H1470" s="1543" t="s">
        <v>4461</v>
      </c>
      <c r="I1470" s="1544" t="s">
        <v>502</v>
      </c>
      <c r="J1470" s="1544" t="s">
        <v>4462</v>
      </c>
      <c r="K1470" s="1544"/>
      <c r="L1470" s="1544"/>
      <c r="M1470" s="1544"/>
      <c r="N1470" s="1544"/>
      <c r="O1470" s="1544"/>
    </row>
    <row r="1471" spans="8:15">
      <c r="H1471" s="1543" t="s">
        <v>4463</v>
      </c>
      <c r="I1471" s="1544" t="s">
        <v>502</v>
      </c>
      <c r="J1471" s="1544" t="s">
        <v>4464</v>
      </c>
      <c r="K1471" s="1544"/>
      <c r="L1471" s="1544"/>
      <c r="M1471" s="1544"/>
      <c r="N1471" s="1544"/>
      <c r="O1471" s="1544"/>
    </row>
    <row r="1472" spans="8:15">
      <c r="H1472" s="1543" t="s">
        <v>4465</v>
      </c>
      <c r="I1472" s="1544" t="s">
        <v>502</v>
      </c>
      <c r="J1472" s="1544" t="s">
        <v>4466</v>
      </c>
      <c r="K1472" s="1544"/>
      <c r="L1472" s="1544"/>
      <c r="M1472" s="1544"/>
      <c r="N1472" s="1544"/>
      <c r="O1472" s="1544"/>
    </row>
    <row r="1473" spans="8:15">
      <c r="H1473" s="1543" t="s">
        <v>4467</v>
      </c>
      <c r="I1473" s="1544" t="s">
        <v>502</v>
      </c>
      <c r="J1473" s="1544" t="s">
        <v>4468</v>
      </c>
      <c r="K1473" s="1544"/>
      <c r="L1473" s="1544"/>
      <c r="M1473" s="1544"/>
      <c r="N1473" s="1544"/>
      <c r="O1473" s="1544"/>
    </row>
    <row r="1474" spans="8:15">
      <c r="H1474" s="1543" t="s">
        <v>4469</v>
      </c>
      <c r="I1474" s="1544" t="s">
        <v>502</v>
      </c>
      <c r="J1474" s="1544" t="s">
        <v>4470</v>
      </c>
      <c r="K1474" s="1544"/>
      <c r="L1474" s="1544"/>
      <c r="M1474" s="1544"/>
      <c r="N1474" s="1544"/>
      <c r="O1474" s="1544"/>
    </row>
    <row r="1475" spans="8:15">
      <c r="H1475" s="1543" t="s">
        <v>4471</v>
      </c>
      <c r="I1475" s="1544" t="s">
        <v>502</v>
      </c>
      <c r="J1475" s="1544" t="s">
        <v>4472</v>
      </c>
      <c r="K1475" s="1544"/>
      <c r="L1475" s="1544"/>
      <c r="M1475" s="1544"/>
      <c r="N1475" s="1544"/>
      <c r="O1475" s="1544"/>
    </row>
    <row r="1476" spans="8:15">
      <c r="H1476" s="1543" t="s">
        <v>4473</v>
      </c>
      <c r="I1476" s="1544" t="s">
        <v>502</v>
      </c>
      <c r="J1476" s="1544" t="s">
        <v>4474</v>
      </c>
      <c r="K1476" s="1544"/>
      <c r="L1476" s="1544"/>
      <c r="M1476" s="1544"/>
      <c r="N1476" s="1544"/>
      <c r="O1476" s="1544"/>
    </row>
    <row r="1477" spans="8:15">
      <c r="H1477" s="1543" t="s">
        <v>4475</v>
      </c>
      <c r="I1477" s="1544" t="s">
        <v>502</v>
      </c>
      <c r="J1477" s="1544" t="s">
        <v>4476</v>
      </c>
      <c r="K1477" s="1544"/>
      <c r="L1477" s="1544"/>
      <c r="M1477" s="1544"/>
      <c r="N1477" s="1544"/>
      <c r="O1477" s="1544"/>
    </row>
    <row r="1478" spans="8:15">
      <c r="H1478" s="1543" t="s">
        <v>4477</v>
      </c>
      <c r="I1478" s="1544" t="s">
        <v>502</v>
      </c>
      <c r="J1478" s="1544" t="s">
        <v>4478</v>
      </c>
      <c r="K1478" s="1544"/>
      <c r="L1478" s="1544"/>
      <c r="M1478" s="1544"/>
      <c r="N1478" s="1544"/>
      <c r="O1478" s="1544"/>
    </row>
    <row r="1479" spans="8:15">
      <c r="H1479" s="1543" t="s">
        <v>4479</v>
      </c>
      <c r="I1479" s="1544" t="s">
        <v>502</v>
      </c>
      <c r="J1479" s="1544" t="s">
        <v>4480</v>
      </c>
      <c r="K1479" s="1544"/>
      <c r="L1479" s="1544"/>
      <c r="M1479" s="1544"/>
      <c r="N1479" s="1544"/>
      <c r="O1479" s="1544"/>
    </row>
    <row r="1480" spans="8:15">
      <c r="H1480" s="1543" t="s">
        <v>4481</v>
      </c>
      <c r="I1480" s="1544" t="s">
        <v>502</v>
      </c>
      <c r="J1480" s="1544" t="s">
        <v>4482</v>
      </c>
      <c r="K1480" s="1544"/>
      <c r="L1480" s="1544"/>
      <c r="M1480" s="1544"/>
      <c r="N1480" s="1544"/>
      <c r="O1480" s="1544"/>
    </row>
    <row r="1481" spans="8:15">
      <c r="H1481" s="1543" t="s">
        <v>4483</v>
      </c>
      <c r="I1481" s="1544" t="s">
        <v>502</v>
      </c>
      <c r="J1481" s="1544" t="s">
        <v>4484</v>
      </c>
      <c r="K1481" s="1544"/>
      <c r="L1481" s="1544"/>
      <c r="M1481" s="1544"/>
      <c r="N1481" s="1544"/>
      <c r="O1481" s="1544"/>
    </row>
    <row r="1482" spans="8:15">
      <c r="H1482" s="1543" t="s">
        <v>4485</v>
      </c>
      <c r="I1482" s="1544" t="s">
        <v>502</v>
      </c>
      <c r="J1482" s="1544" t="s">
        <v>4486</v>
      </c>
      <c r="K1482" s="1544"/>
      <c r="L1482" s="1544"/>
      <c r="M1482" s="1544"/>
      <c r="N1482" s="1544"/>
      <c r="O1482" s="1544"/>
    </row>
    <row r="1483" spans="8:15">
      <c r="H1483" s="1543" t="s">
        <v>4487</v>
      </c>
      <c r="I1483" s="1544" t="s">
        <v>502</v>
      </c>
      <c r="J1483" s="1544" t="s">
        <v>4488</v>
      </c>
      <c r="K1483" s="1544"/>
      <c r="L1483" s="1544"/>
      <c r="M1483" s="1544"/>
      <c r="N1483" s="1544"/>
      <c r="O1483" s="1544"/>
    </row>
    <row r="1484" spans="8:15">
      <c r="H1484" s="1543" t="s">
        <v>4489</v>
      </c>
      <c r="I1484" s="1544" t="s">
        <v>502</v>
      </c>
      <c r="J1484" s="1544" t="s">
        <v>4490</v>
      </c>
      <c r="K1484" s="1544"/>
      <c r="L1484" s="1544"/>
      <c r="M1484" s="1544"/>
      <c r="N1484" s="1544"/>
      <c r="O1484" s="1544"/>
    </row>
    <row r="1485" spans="8:15">
      <c r="H1485" s="1543" t="s">
        <v>4491</v>
      </c>
      <c r="I1485" s="1544" t="s">
        <v>503</v>
      </c>
      <c r="J1485" s="1544"/>
      <c r="K1485" s="1544">
        <f>ROW()</f>
        <v>1485</v>
      </c>
      <c r="L1485" s="1544">
        <f>K1485+COUNTIF($I$122:$I$1909,I1485)-1</f>
        <v>1508</v>
      </c>
      <c r="M1485" s="1544"/>
      <c r="N1485" s="1544"/>
      <c r="O1485" s="1544"/>
    </row>
    <row r="1486" spans="8:15">
      <c r="H1486" s="1543" t="s">
        <v>1261</v>
      </c>
      <c r="I1486" s="1544" t="s">
        <v>503</v>
      </c>
      <c r="J1486" s="1544" t="s">
        <v>1260</v>
      </c>
      <c r="K1486" s="1544"/>
      <c r="L1486" s="1544"/>
      <c r="M1486" s="1544"/>
      <c r="N1486" s="1544"/>
      <c r="O1486" s="1544"/>
    </row>
    <row r="1487" spans="8:15">
      <c r="H1487" s="1543" t="s">
        <v>1431</v>
      </c>
      <c r="I1487" s="1544" t="s">
        <v>503</v>
      </c>
      <c r="J1487" s="1544" t="s">
        <v>1430</v>
      </c>
      <c r="K1487" s="1544"/>
      <c r="L1487" s="1544"/>
      <c r="M1487" s="1544"/>
      <c r="N1487" s="1544"/>
      <c r="O1487" s="1544"/>
    </row>
    <row r="1488" spans="8:15">
      <c r="H1488" s="1543" t="s">
        <v>4492</v>
      </c>
      <c r="I1488" s="1544" t="s">
        <v>503</v>
      </c>
      <c r="J1488" s="1544" t="s">
        <v>4493</v>
      </c>
      <c r="K1488" s="1544"/>
      <c r="L1488" s="1544"/>
      <c r="M1488" s="1544"/>
      <c r="N1488" s="1544"/>
      <c r="O1488" s="1544"/>
    </row>
    <row r="1489" spans="8:15">
      <c r="H1489" s="1543" t="s">
        <v>4494</v>
      </c>
      <c r="I1489" s="1544" t="s">
        <v>503</v>
      </c>
      <c r="J1489" s="1544" t="s">
        <v>4495</v>
      </c>
      <c r="K1489" s="1544"/>
      <c r="L1489" s="1544"/>
      <c r="M1489" s="1544"/>
      <c r="N1489" s="1544"/>
      <c r="O1489" s="1544"/>
    </row>
    <row r="1490" spans="8:15">
      <c r="H1490" s="1543" t="s">
        <v>4496</v>
      </c>
      <c r="I1490" s="1544" t="s">
        <v>503</v>
      </c>
      <c r="J1490" s="1544" t="s">
        <v>4497</v>
      </c>
      <c r="K1490" s="1544"/>
      <c r="L1490" s="1544"/>
      <c r="M1490" s="1544"/>
      <c r="N1490" s="1544"/>
      <c r="O1490" s="1544"/>
    </row>
    <row r="1491" spans="8:15">
      <c r="H1491" s="1543" t="s">
        <v>1337</v>
      </c>
      <c r="I1491" s="1544" t="s">
        <v>503</v>
      </c>
      <c r="J1491" s="1544" t="s">
        <v>1336</v>
      </c>
      <c r="K1491" s="1544"/>
      <c r="L1491" s="1544"/>
      <c r="M1491" s="1544"/>
      <c r="N1491" s="1544"/>
      <c r="O1491" s="1544"/>
    </row>
    <row r="1492" spans="8:15">
      <c r="H1492" s="1543" t="s">
        <v>4498</v>
      </c>
      <c r="I1492" s="1544" t="s">
        <v>503</v>
      </c>
      <c r="J1492" s="1544" t="s">
        <v>3254</v>
      </c>
      <c r="K1492" s="1544"/>
      <c r="L1492" s="1544"/>
      <c r="M1492" s="1544"/>
      <c r="N1492" s="1544"/>
      <c r="O1492" s="1544"/>
    </row>
    <row r="1493" spans="8:15">
      <c r="H1493" s="1543" t="s">
        <v>4499</v>
      </c>
      <c r="I1493" s="1544" t="s">
        <v>503</v>
      </c>
      <c r="J1493" s="1544" t="s">
        <v>4500</v>
      </c>
      <c r="K1493" s="1544"/>
      <c r="L1493" s="1544"/>
      <c r="M1493" s="1544"/>
      <c r="N1493" s="1544"/>
      <c r="O1493" s="1544"/>
    </row>
    <row r="1494" spans="8:15">
      <c r="H1494" s="1543" t="s">
        <v>4501</v>
      </c>
      <c r="I1494" s="1544" t="s">
        <v>503</v>
      </c>
      <c r="J1494" s="1544" t="s">
        <v>4502</v>
      </c>
      <c r="K1494" s="1544"/>
      <c r="L1494" s="1544"/>
      <c r="M1494" s="1544"/>
      <c r="N1494" s="1544"/>
      <c r="O1494" s="1544"/>
    </row>
    <row r="1495" spans="8:15">
      <c r="H1495" s="1543" t="s">
        <v>4503</v>
      </c>
      <c r="I1495" s="1544" t="s">
        <v>503</v>
      </c>
      <c r="J1495" s="1544" t="s">
        <v>4504</v>
      </c>
      <c r="K1495" s="1544"/>
      <c r="L1495" s="1544"/>
      <c r="M1495" s="1544"/>
      <c r="N1495" s="1544"/>
      <c r="O1495" s="1544"/>
    </row>
    <row r="1496" spans="8:15">
      <c r="H1496" s="1543" t="s">
        <v>4505</v>
      </c>
      <c r="I1496" s="1544" t="s">
        <v>503</v>
      </c>
      <c r="J1496" s="1544" t="s">
        <v>4506</v>
      </c>
      <c r="K1496" s="1544"/>
      <c r="L1496" s="1544"/>
      <c r="M1496" s="1544"/>
      <c r="N1496" s="1544"/>
      <c r="O1496" s="1544"/>
    </row>
    <row r="1497" spans="8:15">
      <c r="H1497" s="1543" t="s">
        <v>4507</v>
      </c>
      <c r="I1497" s="1544" t="s">
        <v>503</v>
      </c>
      <c r="J1497" s="1544" t="s">
        <v>4508</v>
      </c>
      <c r="K1497" s="1544"/>
      <c r="L1497" s="1544"/>
      <c r="M1497" s="1544"/>
      <c r="N1497" s="1544"/>
      <c r="O1497" s="1544"/>
    </row>
    <row r="1498" spans="8:15">
      <c r="H1498" s="1543" t="s">
        <v>4509</v>
      </c>
      <c r="I1498" s="1544" t="s">
        <v>503</v>
      </c>
      <c r="J1498" s="1544" t="s">
        <v>4510</v>
      </c>
      <c r="K1498" s="1544"/>
      <c r="L1498" s="1544"/>
      <c r="M1498" s="1544"/>
      <c r="N1498" s="1544"/>
      <c r="O1498" s="1544"/>
    </row>
    <row r="1499" spans="8:15">
      <c r="H1499" s="1543" t="s">
        <v>4511</v>
      </c>
      <c r="I1499" s="1544" t="s">
        <v>503</v>
      </c>
      <c r="J1499" s="1544" t="s">
        <v>4512</v>
      </c>
      <c r="K1499" s="1544"/>
      <c r="L1499" s="1544"/>
      <c r="M1499" s="1544"/>
      <c r="N1499" s="1544"/>
      <c r="O1499" s="1544"/>
    </row>
    <row r="1500" spans="8:15">
      <c r="H1500" s="1543" t="s">
        <v>4513</v>
      </c>
      <c r="I1500" s="1544" t="s">
        <v>503</v>
      </c>
      <c r="J1500" s="1544" t="s">
        <v>4514</v>
      </c>
      <c r="K1500" s="1544"/>
      <c r="L1500" s="1544"/>
      <c r="M1500" s="1544"/>
      <c r="N1500" s="1544"/>
      <c r="O1500" s="1544"/>
    </row>
    <row r="1501" spans="8:15">
      <c r="H1501" s="1543" t="s">
        <v>4515</v>
      </c>
      <c r="I1501" s="1544" t="s">
        <v>503</v>
      </c>
      <c r="J1501" s="1544" t="s">
        <v>4516</v>
      </c>
      <c r="K1501" s="1544"/>
      <c r="L1501" s="1544"/>
      <c r="M1501" s="1544"/>
      <c r="N1501" s="1544"/>
      <c r="O1501" s="1544"/>
    </row>
    <row r="1502" spans="8:15">
      <c r="H1502" s="1543" t="s">
        <v>4517</v>
      </c>
      <c r="I1502" s="1544" t="s">
        <v>503</v>
      </c>
      <c r="J1502" s="1544" t="s">
        <v>4518</v>
      </c>
      <c r="K1502" s="1544"/>
      <c r="L1502" s="1544"/>
      <c r="M1502" s="1544"/>
      <c r="N1502" s="1544"/>
      <c r="O1502" s="1544"/>
    </row>
    <row r="1503" spans="8:15">
      <c r="H1503" s="1543" t="s">
        <v>4519</v>
      </c>
      <c r="I1503" s="1544" t="s">
        <v>503</v>
      </c>
      <c r="J1503" s="1544" t="s">
        <v>4520</v>
      </c>
      <c r="K1503" s="1544"/>
      <c r="L1503" s="1544"/>
      <c r="M1503" s="1544"/>
      <c r="N1503" s="1544"/>
      <c r="O1503" s="1544"/>
    </row>
    <row r="1504" spans="8:15">
      <c r="H1504" s="1543" t="s">
        <v>4521</v>
      </c>
      <c r="I1504" s="1544" t="s">
        <v>503</v>
      </c>
      <c r="J1504" s="1544" t="s">
        <v>4522</v>
      </c>
      <c r="K1504" s="1544"/>
      <c r="L1504" s="1544"/>
      <c r="M1504" s="1544"/>
      <c r="N1504" s="1544"/>
      <c r="O1504" s="1544"/>
    </row>
    <row r="1505" spans="8:15">
      <c r="H1505" s="1543" t="s">
        <v>4523</v>
      </c>
      <c r="I1505" s="1544" t="s">
        <v>503</v>
      </c>
      <c r="J1505" s="1544" t="s">
        <v>4524</v>
      </c>
      <c r="K1505" s="1544"/>
      <c r="L1505" s="1544"/>
      <c r="M1505" s="1544"/>
      <c r="N1505" s="1544"/>
      <c r="O1505" s="1544"/>
    </row>
    <row r="1506" spans="8:15">
      <c r="H1506" s="1543" t="s">
        <v>4525</v>
      </c>
      <c r="I1506" s="1544" t="s">
        <v>503</v>
      </c>
      <c r="J1506" s="1544" t="s">
        <v>4526</v>
      </c>
      <c r="K1506" s="1544"/>
      <c r="L1506" s="1544"/>
      <c r="M1506" s="1544"/>
      <c r="N1506" s="1544"/>
      <c r="O1506" s="1544"/>
    </row>
    <row r="1507" spans="8:15">
      <c r="H1507" s="1543" t="s">
        <v>4527</v>
      </c>
      <c r="I1507" s="1544" t="s">
        <v>503</v>
      </c>
      <c r="J1507" s="1544" t="s">
        <v>4528</v>
      </c>
      <c r="K1507" s="1544"/>
      <c r="L1507" s="1544"/>
      <c r="M1507" s="1544"/>
      <c r="N1507" s="1544"/>
      <c r="O1507" s="1544"/>
    </row>
    <row r="1508" spans="8:15">
      <c r="H1508" s="1543" t="s">
        <v>4529</v>
      </c>
      <c r="I1508" s="1544" t="s">
        <v>503</v>
      </c>
      <c r="J1508" s="1544" t="s">
        <v>4530</v>
      </c>
      <c r="K1508" s="1544"/>
      <c r="L1508" s="1544"/>
      <c r="M1508" s="1544"/>
      <c r="N1508" s="1544"/>
      <c r="O1508" s="1544"/>
    </row>
    <row r="1509" spans="8:15">
      <c r="H1509" s="1543" t="s">
        <v>4531</v>
      </c>
      <c r="I1509" s="1544" t="s">
        <v>504</v>
      </c>
      <c r="J1509" s="1544"/>
      <c r="K1509" s="1544">
        <f>ROW()</f>
        <v>1509</v>
      </c>
      <c r="L1509" s="1544">
        <f>K1509+COUNTIF($I$122:$I$1909,I1509)-1</f>
        <v>1528</v>
      </c>
      <c r="M1509" s="1544"/>
      <c r="N1509" s="1544"/>
      <c r="O1509" s="1544"/>
    </row>
    <row r="1510" spans="8:15">
      <c r="H1510" s="1543" t="s">
        <v>1339</v>
      </c>
      <c r="I1510" s="1544" t="s">
        <v>504</v>
      </c>
      <c r="J1510" s="1544" t="s">
        <v>1338</v>
      </c>
      <c r="K1510" s="1544"/>
      <c r="L1510" s="1544"/>
      <c r="M1510" s="1544"/>
      <c r="N1510" s="1544"/>
      <c r="O1510" s="1544"/>
    </row>
    <row r="1511" spans="8:15">
      <c r="H1511" s="1543" t="s">
        <v>4532</v>
      </c>
      <c r="I1511" s="1544" t="s">
        <v>504</v>
      </c>
      <c r="J1511" s="1544" t="s">
        <v>4533</v>
      </c>
      <c r="K1511" s="1544"/>
      <c r="L1511" s="1544"/>
      <c r="M1511" s="1544"/>
      <c r="N1511" s="1544"/>
      <c r="O1511" s="1544"/>
    </row>
    <row r="1512" spans="8:15">
      <c r="H1512" s="1543" t="s">
        <v>4534</v>
      </c>
      <c r="I1512" s="1544" t="s">
        <v>504</v>
      </c>
      <c r="J1512" s="1544" t="s">
        <v>4535</v>
      </c>
      <c r="K1512" s="1544"/>
      <c r="L1512" s="1544"/>
      <c r="M1512" s="1544"/>
      <c r="N1512" s="1544"/>
      <c r="O1512" s="1544"/>
    </row>
    <row r="1513" spans="8:15">
      <c r="H1513" s="1543" t="s">
        <v>4536</v>
      </c>
      <c r="I1513" s="1544" t="s">
        <v>504</v>
      </c>
      <c r="J1513" s="1544" t="s">
        <v>4537</v>
      </c>
      <c r="K1513" s="1544"/>
      <c r="L1513" s="1544"/>
      <c r="M1513" s="1544"/>
      <c r="N1513" s="1544"/>
      <c r="O1513" s="1544"/>
    </row>
    <row r="1514" spans="8:15">
      <c r="H1514" s="1543" t="s">
        <v>4538</v>
      </c>
      <c r="I1514" s="1544" t="s">
        <v>504</v>
      </c>
      <c r="J1514" s="1544" t="s">
        <v>4539</v>
      </c>
      <c r="K1514" s="1544"/>
      <c r="L1514" s="1544"/>
      <c r="M1514" s="1544"/>
      <c r="N1514" s="1544"/>
      <c r="O1514" s="1544"/>
    </row>
    <row r="1515" spans="8:15">
      <c r="H1515" s="1543" t="s">
        <v>4540</v>
      </c>
      <c r="I1515" s="1544" t="s">
        <v>504</v>
      </c>
      <c r="J1515" s="1544" t="s">
        <v>4541</v>
      </c>
      <c r="K1515" s="1544"/>
      <c r="L1515" s="1544"/>
      <c r="M1515" s="1544"/>
      <c r="N1515" s="1544"/>
      <c r="O1515" s="1544"/>
    </row>
    <row r="1516" spans="8:15">
      <c r="H1516" s="1543" t="s">
        <v>4542</v>
      </c>
      <c r="I1516" s="1544" t="s">
        <v>504</v>
      </c>
      <c r="J1516" s="1544" t="s">
        <v>4543</v>
      </c>
      <c r="K1516" s="1544"/>
      <c r="L1516" s="1544"/>
      <c r="M1516" s="1544"/>
      <c r="N1516" s="1544"/>
      <c r="O1516" s="1544"/>
    </row>
    <row r="1517" spans="8:15">
      <c r="H1517" s="1543" t="s">
        <v>4544</v>
      </c>
      <c r="I1517" s="1544" t="s">
        <v>504</v>
      </c>
      <c r="J1517" s="1544" t="s">
        <v>4545</v>
      </c>
      <c r="K1517" s="1544"/>
      <c r="L1517" s="1544"/>
      <c r="M1517" s="1544"/>
      <c r="N1517" s="1544"/>
      <c r="O1517" s="1544"/>
    </row>
    <row r="1518" spans="8:15">
      <c r="H1518" s="1543" t="s">
        <v>4546</v>
      </c>
      <c r="I1518" s="1544" t="s">
        <v>504</v>
      </c>
      <c r="J1518" s="1544" t="s">
        <v>4547</v>
      </c>
      <c r="K1518" s="1544"/>
      <c r="L1518" s="1544"/>
      <c r="M1518" s="1544"/>
      <c r="N1518" s="1544"/>
      <c r="O1518" s="1544"/>
    </row>
    <row r="1519" spans="8:15">
      <c r="H1519" s="1543" t="s">
        <v>4548</v>
      </c>
      <c r="I1519" s="1544" t="s">
        <v>504</v>
      </c>
      <c r="J1519" s="1544" t="s">
        <v>4549</v>
      </c>
      <c r="K1519" s="1544"/>
      <c r="L1519" s="1544"/>
      <c r="M1519" s="1544"/>
      <c r="N1519" s="1544"/>
      <c r="O1519" s="1544"/>
    </row>
    <row r="1520" spans="8:15">
      <c r="H1520" s="1543" t="s">
        <v>4550</v>
      </c>
      <c r="I1520" s="1544" t="s">
        <v>504</v>
      </c>
      <c r="J1520" s="1544" t="s">
        <v>4551</v>
      </c>
      <c r="K1520" s="1544"/>
      <c r="L1520" s="1544"/>
      <c r="M1520" s="1544"/>
      <c r="N1520" s="1544"/>
      <c r="O1520" s="1544"/>
    </row>
    <row r="1521" spans="8:15">
      <c r="H1521" s="1543" t="s">
        <v>4552</v>
      </c>
      <c r="I1521" s="1544" t="s">
        <v>504</v>
      </c>
      <c r="J1521" s="1544" t="s">
        <v>4553</v>
      </c>
      <c r="K1521" s="1544"/>
      <c r="L1521" s="1544"/>
      <c r="M1521" s="1544"/>
      <c r="N1521" s="1544"/>
      <c r="O1521" s="1544"/>
    </row>
    <row r="1522" spans="8:15">
      <c r="H1522" s="1543" t="s">
        <v>4554</v>
      </c>
      <c r="I1522" s="1544" t="s">
        <v>504</v>
      </c>
      <c r="J1522" s="1544" t="s">
        <v>4555</v>
      </c>
      <c r="K1522" s="1544"/>
      <c r="L1522" s="1544"/>
      <c r="M1522" s="1544"/>
      <c r="N1522" s="1544"/>
      <c r="O1522" s="1544"/>
    </row>
    <row r="1523" spans="8:15">
      <c r="H1523" s="1543" t="s">
        <v>4556</v>
      </c>
      <c r="I1523" s="1544" t="s">
        <v>504</v>
      </c>
      <c r="J1523" s="1544" t="s">
        <v>4557</v>
      </c>
      <c r="K1523" s="1544"/>
      <c r="L1523" s="1544"/>
      <c r="M1523" s="1544"/>
      <c r="N1523" s="1544"/>
      <c r="O1523" s="1544"/>
    </row>
    <row r="1524" spans="8:15">
      <c r="H1524" s="1543" t="s">
        <v>4558</v>
      </c>
      <c r="I1524" s="1544" t="s">
        <v>504</v>
      </c>
      <c r="J1524" s="1544" t="s">
        <v>4559</v>
      </c>
      <c r="K1524" s="1544"/>
      <c r="L1524" s="1544"/>
      <c r="M1524" s="1544"/>
      <c r="N1524" s="1544"/>
      <c r="O1524" s="1544"/>
    </row>
    <row r="1525" spans="8:15">
      <c r="H1525" s="1543" t="s">
        <v>4560</v>
      </c>
      <c r="I1525" s="1544" t="s">
        <v>504</v>
      </c>
      <c r="J1525" s="1544" t="s">
        <v>4561</v>
      </c>
      <c r="K1525" s="1544"/>
      <c r="L1525" s="1544"/>
      <c r="M1525" s="1544"/>
      <c r="N1525" s="1544"/>
      <c r="O1525" s="1544"/>
    </row>
    <row r="1526" spans="8:15">
      <c r="H1526" s="1543" t="s">
        <v>4562</v>
      </c>
      <c r="I1526" s="1544" t="s">
        <v>504</v>
      </c>
      <c r="J1526" s="1544" t="s">
        <v>4563</v>
      </c>
      <c r="K1526" s="1544"/>
      <c r="L1526" s="1544"/>
      <c r="M1526" s="1544"/>
      <c r="N1526" s="1544"/>
      <c r="O1526" s="1544"/>
    </row>
    <row r="1527" spans="8:15">
      <c r="H1527" s="1543" t="s">
        <v>4564</v>
      </c>
      <c r="I1527" s="1544" t="s">
        <v>504</v>
      </c>
      <c r="J1527" s="1544" t="s">
        <v>4565</v>
      </c>
      <c r="K1527" s="1544"/>
      <c r="L1527" s="1544"/>
      <c r="M1527" s="1544"/>
      <c r="N1527" s="1544"/>
      <c r="O1527" s="1544"/>
    </row>
    <row r="1528" spans="8:15">
      <c r="H1528" s="1543" t="s">
        <v>4566</v>
      </c>
      <c r="I1528" s="1544" t="s">
        <v>504</v>
      </c>
      <c r="J1528" s="1544" t="s">
        <v>4567</v>
      </c>
      <c r="K1528" s="1544"/>
      <c r="L1528" s="1544"/>
      <c r="M1528" s="1544"/>
      <c r="N1528" s="1544"/>
      <c r="O1528" s="1544"/>
    </row>
    <row r="1529" spans="8:15">
      <c r="H1529" s="1543" t="s">
        <v>4568</v>
      </c>
      <c r="I1529" s="1544" t="s">
        <v>2093</v>
      </c>
      <c r="J1529" s="1544"/>
      <c r="K1529" s="1544">
        <f>ROW()</f>
        <v>1529</v>
      </c>
      <c r="L1529" s="1544">
        <f>K1529+COUNTIF($I$122:$I$1909,I1529)-1</f>
        <v>1553</v>
      </c>
      <c r="M1529" s="1544"/>
      <c r="N1529" s="1544"/>
      <c r="O1529" s="1544"/>
    </row>
    <row r="1530" spans="8:15">
      <c r="H1530" s="1543" t="s">
        <v>4569</v>
      </c>
      <c r="I1530" s="1544" t="s">
        <v>2093</v>
      </c>
      <c r="J1530" s="1544" t="s">
        <v>4570</v>
      </c>
      <c r="K1530" s="1544"/>
      <c r="L1530" s="1544"/>
      <c r="M1530" s="1544"/>
      <c r="N1530" s="1544"/>
      <c r="O1530" s="1544"/>
    </row>
    <row r="1531" spans="8:15">
      <c r="H1531" s="1543" t="s">
        <v>4571</v>
      </c>
      <c r="I1531" s="1544" t="s">
        <v>2093</v>
      </c>
      <c r="J1531" s="1544" t="s">
        <v>4572</v>
      </c>
      <c r="K1531" s="1544"/>
      <c r="L1531" s="1544"/>
      <c r="M1531" s="1544"/>
      <c r="N1531" s="1544"/>
      <c r="O1531" s="1544"/>
    </row>
    <row r="1532" spans="8:15">
      <c r="H1532" s="1543" t="s">
        <v>4573</v>
      </c>
      <c r="I1532" s="1544" t="s">
        <v>2093</v>
      </c>
      <c r="J1532" s="1544" t="s">
        <v>4574</v>
      </c>
      <c r="K1532" s="1544"/>
      <c r="L1532" s="1544"/>
      <c r="M1532" s="1544"/>
      <c r="N1532" s="1544"/>
      <c r="O1532" s="1544"/>
    </row>
    <row r="1533" spans="8:15">
      <c r="H1533" s="1543" t="s">
        <v>4575</v>
      </c>
      <c r="I1533" s="1544" t="s">
        <v>2093</v>
      </c>
      <c r="J1533" s="1544" t="s">
        <v>4576</v>
      </c>
      <c r="K1533" s="1544"/>
      <c r="L1533" s="1544"/>
      <c r="M1533" s="1544"/>
      <c r="N1533" s="1544"/>
      <c r="O1533" s="1544"/>
    </row>
    <row r="1534" spans="8:15">
      <c r="H1534" s="1543" t="s">
        <v>4577</v>
      </c>
      <c r="I1534" s="1544" t="s">
        <v>2093</v>
      </c>
      <c r="J1534" s="1544" t="s">
        <v>4578</v>
      </c>
      <c r="K1534" s="1544"/>
      <c r="L1534" s="1544"/>
      <c r="M1534" s="1544"/>
      <c r="N1534" s="1544"/>
      <c r="O1534" s="1544"/>
    </row>
    <row r="1535" spans="8:15">
      <c r="H1535" s="1543" t="s">
        <v>4579</v>
      </c>
      <c r="I1535" s="1544" t="s">
        <v>2093</v>
      </c>
      <c r="J1535" s="1544" t="s">
        <v>4580</v>
      </c>
      <c r="K1535" s="1544"/>
      <c r="L1535" s="1544"/>
      <c r="M1535" s="1544"/>
      <c r="N1535" s="1544"/>
      <c r="O1535" s="1544"/>
    </row>
    <row r="1536" spans="8:15">
      <c r="H1536" s="1543" t="s">
        <v>4581</v>
      </c>
      <c r="I1536" s="1544" t="s">
        <v>2093</v>
      </c>
      <c r="J1536" s="1544" t="s">
        <v>4582</v>
      </c>
      <c r="K1536" s="1544"/>
      <c r="L1536" s="1544"/>
      <c r="M1536" s="1544"/>
      <c r="N1536" s="1544"/>
      <c r="O1536" s="1544"/>
    </row>
    <row r="1537" spans="8:15">
      <c r="H1537" s="1543" t="s">
        <v>4583</v>
      </c>
      <c r="I1537" s="1544" t="s">
        <v>2093</v>
      </c>
      <c r="J1537" s="1544" t="s">
        <v>4584</v>
      </c>
      <c r="K1537" s="1544"/>
      <c r="L1537" s="1544"/>
      <c r="M1537" s="1544"/>
      <c r="N1537" s="1544"/>
      <c r="O1537" s="1544"/>
    </row>
    <row r="1538" spans="8:15">
      <c r="H1538" s="1543" t="s">
        <v>4585</v>
      </c>
      <c r="I1538" s="1544" t="s">
        <v>2093</v>
      </c>
      <c r="J1538" s="1544" t="s">
        <v>4586</v>
      </c>
      <c r="K1538" s="1544"/>
      <c r="L1538" s="1544"/>
      <c r="M1538" s="1544"/>
      <c r="N1538" s="1544"/>
      <c r="O1538" s="1544"/>
    </row>
    <row r="1539" spans="8:15">
      <c r="H1539" s="1543" t="s">
        <v>4587</v>
      </c>
      <c r="I1539" s="1544" t="s">
        <v>2093</v>
      </c>
      <c r="J1539" s="1544" t="s">
        <v>4588</v>
      </c>
      <c r="K1539" s="1544"/>
      <c r="L1539" s="1544"/>
      <c r="M1539" s="1544"/>
      <c r="N1539" s="1544"/>
      <c r="O1539" s="1544"/>
    </row>
    <row r="1540" spans="8:15">
      <c r="H1540" s="1543" t="s">
        <v>4589</v>
      </c>
      <c r="I1540" s="1544" t="s">
        <v>2093</v>
      </c>
      <c r="J1540" s="1544" t="s">
        <v>4590</v>
      </c>
      <c r="K1540" s="1544"/>
      <c r="L1540" s="1544"/>
      <c r="M1540" s="1544"/>
      <c r="N1540" s="1544"/>
      <c r="O1540" s="1544"/>
    </row>
    <row r="1541" spans="8:15">
      <c r="H1541" s="1543" t="s">
        <v>4591</v>
      </c>
      <c r="I1541" s="1544" t="s">
        <v>2093</v>
      </c>
      <c r="J1541" s="1544" t="s">
        <v>4592</v>
      </c>
      <c r="K1541" s="1544"/>
      <c r="L1541" s="1544"/>
      <c r="M1541" s="1544"/>
      <c r="N1541" s="1544"/>
      <c r="O1541" s="1544"/>
    </row>
    <row r="1542" spans="8:15">
      <c r="H1542" s="1543" t="s">
        <v>4593</v>
      </c>
      <c r="I1542" s="1544" t="s">
        <v>2093</v>
      </c>
      <c r="J1542" s="1544" t="s">
        <v>4594</v>
      </c>
      <c r="K1542" s="1544"/>
      <c r="L1542" s="1544"/>
      <c r="M1542" s="1544"/>
      <c r="N1542" s="1544"/>
      <c r="O1542" s="1544"/>
    </row>
    <row r="1543" spans="8:15">
      <c r="H1543" s="1543" t="s">
        <v>4595</v>
      </c>
      <c r="I1543" s="1544" t="s">
        <v>2093</v>
      </c>
      <c r="J1543" s="1544" t="s">
        <v>4596</v>
      </c>
      <c r="K1543" s="1544"/>
      <c r="L1543" s="1544"/>
      <c r="M1543" s="1544"/>
      <c r="N1543" s="1544"/>
      <c r="O1543" s="1544"/>
    </row>
    <row r="1544" spans="8:15">
      <c r="H1544" s="1543" t="s">
        <v>4597</v>
      </c>
      <c r="I1544" s="1544" t="s">
        <v>2093</v>
      </c>
      <c r="J1544" s="1544" t="s">
        <v>4598</v>
      </c>
      <c r="K1544" s="1544"/>
      <c r="L1544" s="1544"/>
      <c r="M1544" s="1544"/>
      <c r="N1544" s="1544"/>
      <c r="O1544" s="1544"/>
    </row>
    <row r="1545" spans="8:15">
      <c r="H1545" s="1543" t="s">
        <v>4599</v>
      </c>
      <c r="I1545" s="1544" t="s">
        <v>2093</v>
      </c>
      <c r="J1545" s="1544" t="s">
        <v>4600</v>
      </c>
      <c r="K1545" s="1544"/>
      <c r="L1545" s="1544"/>
      <c r="M1545" s="1544"/>
      <c r="N1545" s="1544"/>
      <c r="O1545" s="1544"/>
    </row>
    <row r="1546" spans="8:15">
      <c r="H1546" s="1543" t="s">
        <v>4601</v>
      </c>
      <c r="I1546" s="1544" t="s">
        <v>2093</v>
      </c>
      <c r="J1546" s="1544" t="s">
        <v>4602</v>
      </c>
      <c r="K1546" s="1544"/>
      <c r="L1546" s="1544"/>
      <c r="M1546" s="1544"/>
      <c r="N1546" s="1544"/>
      <c r="O1546" s="1544"/>
    </row>
    <row r="1547" spans="8:15">
      <c r="H1547" s="1543" t="s">
        <v>4603</v>
      </c>
      <c r="I1547" s="1544" t="s">
        <v>2093</v>
      </c>
      <c r="J1547" s="1544" t="s">
        <v>4604</v>
      </c>
      <c r="K1547" s="1544"/>
      <c r="L1547" s="1544"/>
      <c r="M1547" s="1544"/>
      <c r="N1547" s="1544"/>
      <c r="O1547" s="1544"/>
    </row>
    <row r="1548" spans="8:15">
      <c r="H1548" s="1543" t="s">
        <v>4605</v>
      </c>
      <c r="I1548" s="1544" t="s">
        <v>2093</v>
      </c>
      <c r="J1548" s="1544" t="s">
        <v>4606</v>
      </c>
      <c r="K1548" s="1544"/>
      <c r="L1548" s="1544"/>
      <c r="M1548" s="1544"/>
      <c r="N1548" s="1544"/>
      <c r="O1548" s="1544"/>
    </row>
    <row r="1549" spans="8:15">
      <c r="H1549" s="1543" t="s">
        <v>4607</v>
      </c>
      <c r="I1549" s="1544" t="s">
        <v>2093</v>
      </c>
      <c r="J1549" s="1544" t="s">
        <v>4608</v>
      </c>
      <c r="K1549" s="1544"/>
      <c r="L1549" s="1544"/>
      <c r="M1549" s="1544"/>
      <c r="N1549" s="1544"/>
      <c r="O1549" s="1544"/>
    </row>
    <row r="1550" spans="8:15">
      <c r="H1550" s="1543" t="s">
        <v>4609</v>
      </c>
      <c r="I1550" s="1544" t="s">
        <v>2093</v>
      </c>
      <c r="J1550" s="1544" t="s">
        <v>4610</v>
      </c>
      <c r="K1550" s="1544"/>
      <c r="L1550" s="1544"/>
      <c r="M1550" s="1544"/>
      <c r="N1550" s="1544"/>
      <c r="O1550" s="1544"/>
    </row>
    <row r="1551" spans="8:15">
      <c r="H1551" s="1543" t="s">
        <v>4611</v>
      </c>
      <c r="I1551" s="1544" t="s">
        <v>2093</v>
      </c>
      <c r="J1551" s="1544" t="s">
        <v>4612</v>
      </c>
      <c r="K1551" s="1544"/>
      <c r="L1551" s="1544"/>
      <c r="M1551" s="1544"/>
      <c r="N1551" s="1544"/>
      <c r="O1551" s="1544"/>
    </row>
    <row r="1552" spans="8:15">
      <c r="H1552" s="1543" t="s">
        <v>4613</v>
      </c>
      <c r="I1552" s="1544" t="s">
        <v>2093</v>
      </c>
      <c r="J1552" s="1544" t="s">
        <v>4614</v>
      </c>
      <c r="K1552" s="1544"/>
      <c r="L1552" s="1544"/>
      <c r="M1552" s="1544"/>
      <c r="N1552" s="1544"/>
      <c r="O1552" s="1544"/>
    </row>
    <row r="1553" spans="8:15">
      <c r="H1553" s="1543" t="s">
        <v>4615</v>
      </c>
      <c r="I1553" s="1544" t="s">
        <v>2093</v>
      </c>
      <c r="J1553" s="1544" t="s">
        <v>4616</v>
      </c>
      <c r="K1553" s="1544"/>
      <c r="L1553" s="1544"/>
      <c r="M1553" s="1544"/>
      <c r="N1553" s="1544"/>
      <c r="O1553" s="1544"/>
    </row>
    <row r="1554" spans="8:15">
      <c r="H1554" s="1543" t="s">
        <v>4617</v>
      </c>
      <c r="I1554" s="1544" t="s">
        <v>505</v>
      </c>
      <c r="J1554" s="1544"/>
      <c r="K1554" s="1544">
        <f>ROW()</f>
        <v>1554</v>
      </c>
      <c r="L1554" s="1544">
        <f>K1554+COUNTIF($I$122:$I$1909,I1554)-1</f>
        <v>1571</v>
      </c>
      <c r="M1554" s="1544"/>
      <c r="N1554" s="1544"/>
      <c r="O1554" s="1544"/>
    </row>
    <row r="1555" spans="8:15">
      <c r="H1555" s="1543" t="s">
        <v>1341</v>
      </c>
      <c r="I1555" s="1544" t="s">
        <v>505</v>
      </c>
      <c r="J1555" s="1544" t="s">
        <v>1340</v>
      </c>
      <c r="K1555" s="1544"/>
      <c r="L1555" s="1544"/>
      <c r="M1555" s="1544"/>
      <c r="N1555" s="1544"/>
      <c r="O1555" s="1544"/>
    </row>
    <row r="1556" spans="8:15">
      <c r="H1556" s="1543" t="s">
        <v>4618</v>
      </c>
      <c r="I1556" s="1544" t="s">
        <v>505</v>
      </c>
      <c r="J1556" s="1544" t="s">
        <v>4619</v>
      </c>
      <c r="K1556" s="1544"/>
      <c r="L1556" s="1544"/>
      <c r="M1556" s="1544"/>
      <c r="N1556" s="1544"/>
      <c r="O1556" s="1544"/>
    </row>
    <row r="1557" spans="8:15">
      <c r="H1557" s="1543" t="s">
        <v>4620</v>
      </c>
      <c r="I1557" s="1544" t="s">
        <v>505</v>
      </c>
      <c r="J1557" s="1544" t="s">
        <v>4621</v>
      </c>
      <c r="K1557" s="1544"/>
      <c r="L1557" s="1544"/>
      <c r="M1557" s="1544"/>
      <c r="N1557" s="1544"/>
      <c r="O1557" s="1544"/>
    </row>
    <row r="1558" spans="8:15">
      <c r="H1558" s="1543" t="s">
        <v>4622</v>
      </c>
      <c r="I1558" s="1544" t="s">
        <v>505</v>
      </c>
      <c r="J1558" s="1544" t="s">
        <v>4623</v>
      </c>
      <c r="K1558" s="1544"/>
      <c r="L1558" s="1544"/>
      <c r="M1558" s="1544"/>
      <c r="N1558" s="1544"/>
      <c r="O1558" s="1544"/>
    </row>
    <row r="1559" spans="8:15">
      <c r="H1559" s="1543" t="s">
        <v>4624</v>
      </c>
      <c r="I1559" s="1544" t="s">
        <v>505</v>
      </c>
      <c r="J1559" s="1544" t="s">
        <v>4625</v>
      </c>
      <c r="K1559" s="1544"/>
      <c r="L1559" s="1544"/>
      <c r="M1559" s="1544"/>
      <c r="N1559" s="1544"/>
      <c r="O1559" s="1544"/>
    </row>
    <row r="1560" spans="8:15">
      <c r="H1560" s="1543" t="s">
        <v>4626</v>
      </c>
      <c r="I1560" s="1544" t="s">
        <v>505</v>
      </c>
      <c r="J1560" s="1544" t="s">
        <v>4627</v>
      </c>
      <c r="K1560" s="1544"/>
      <c r="L1560" s="1544"/>
      <c r="M1560" s="1544"/>
      <c r="N1560" s="1544"/>
      <c r="O1560" s="1544"/>
    </row>
    <row r="1561" spans="8:15">
      <c r="H1561" s="1543" t="s">
        <v>4628</v>
      </c>
      <c r="I1561" s="1544" t="s">
        <v>505</v>
      </c>
      <c r="J1561" s="1544" t="s">
        <v>4629</v>
      </c>
      <c r="K1561" s="1544"/>
      <c r="L1561" s="1544"/>
      <c r="M1561" s="1544"/>
      <c r="N1561" s="1544"/>
      <c r="O1561" s="1544"/>
    </row>
    <row r="1562" spans="8:15">
      <c r="H1562" s="1543" t="s">
        <v>4630</v>
      </c>
      <c r="I1562" s="1544" t="s">
        <v>505</v>
      </c>
      <c r="J1562" s="1544" t="s">
        <v>4631</v>
      </c>
      <c r="K1562" s="1544"/>
      <c r="L1562" s="1544"/>
      <c r="M1562" s="1544"/>
      <c r="N1562" s="1544"/>
      <c r="O1562" s="1544"/>
    </row>
    <row r="1563" spans="8:15">
      <c r="H1563" s="1543" t="s">
        <v>4632</v>
      </c>
      <c r="I1563" s="1544" t="s">
        <v>505</v>
      </c>
      <c r="J1563" s="1544" t="s">
        <v>4633</v>
      </c>
      <c r="K1563" s="1544"/>
      <c r="L1563" s="1544"/>
      <c r="M1563" s="1544"/>
      <c r="N1563" s="1544"/>
      <c r="O1563" s="1544"/>
    </row>
    <row r="1564" spans="8:15">
      <c r="H1564" s="1543" t="s">
        <v>4634</v>
      </c>
      <c r="I1564" s="1544" t="s">
        <v>505</v>
      </c>
      <c r="J1564" s="1544" t="s">
        <v>4635</v>
      </c>
      <c r="K1564" s="1544"/>
      <c r="L1564" s="1544"/>
      <c r="M1564" s="1544"/>
      <c r="N1564" s="1544"/>
      <c r="O1564" s="1544"/>
    </row>
    <row r="1565" spans="8:15">
      <c r="H1565" s="1543" t="s">
        <v>4636</v>
      </c>
      <c r="I1565" s="1544" t="s">
        <v>505</v>
      </c>
      <c r="J1565" s="1544" t="s">
        <v>4637</v>
      </c>
      <c r="K1565" s="1544"/>
      <c r="L1565" s="1544"/>
      <c r="M1565" s="1544"/>
      <c r="N1565" s="1544"/>
      <c r="O1565" s="1544"/>
    </row>
    <row r="1566" spans="8:15">
      <c r="H1566" s="1543" t="s">
        <v>4638</v>
      </c>
      <c r="I1566" s="1544" t="s">
        <v>505</v>
      </c>
      <c r="J1566" s="1544" t="s">
        <v>4639</v>
      </c>
      <c r="K1566" s="1544"/>
      <c r="L1566" s="1544"/>
      <c r="M1566" s="1544"/>
      <c r="N1566" s="1544"/>
      <c r="O1566" s="1544"/>
    </row>
    <row r="1567" spans="8:15">
      <c r="H1567" s="1543" t="s">
        <v>4640</v>
      </c>
      <c r="I1567" s="1544" t="s">
        <v>505</v>
      </c>
      <c r="J1567" s="1544" t="s">
        <v>4641</v>
      </c>
      <c r="K1567" s="1544"/>
      <c r="L1567" s="1544"/>
      <c r="M1567" s="1544"/>
      <c r="N1567" s="1544"/>
      <c r="O1567" s="1544"/>
    </row>
    <row r="1568" spans="8:15">
      <c r="H1568" s="1543" t="s">
        <v>4642</v>
      </c>
      <c r="I1568" s="1544" t="s">
        <v>505</v>
      </c>
      <c r="J1568" s="1544" t="s">
        <v>4643</v>
      </c>
      <c r="K1568" s="1544"/>
      <c r="L1568" s="1544"/>
      <c r="M1568" s="1544"/>
      <c r="N1568" s="1544"/>
      <c r="O1568" s="1544"/>
    </row>
    <row r="1569" spans="8:15">
      <c r="H1569" s="1543" t="s">
        <v>4644</v>
      </c>
      <c r="I1569" s="1544" t="s">
        <v>505</v>
      </c>
      <c r="J1569" s="1544" t="s">
        <v>4645</v>
      </c>
      <c r="K1569" s="1544"/>
      <c r="L1569" s="1544"/>
      <c r="M1569" s="1544"/>
      <c r="N1569" s="1544"/>
      <c r="O1569" s="1544"/>
    </row>
    <row r="1570" spans="8:15">
      <c r="H1570" s="1543" t="s">
        <v>4646</v>
      </c>
      <c r="I1570" s="1544" t="s">
        <v>505</v>
      </c>
      <c r="J1570" s="1544" t="s">
        <v>4647</v>
      </c>
      <c r="K1570" s="1544"/>
      <c r="L1570" s="1544"/>
      <c r="M1570" s="1544"/>
      <c r="N1570" s="1544"/>
      <c r="O1570" s="1544"/>
    </row>
    <row r="1571" spans="8:15">
      <c r="H1571" s="1543" t="s">
        <v>4648</v>
      </c>
      <c r="I1571" s="1544" t="s">
        <v>505</v>
      </c>
      <c r="J1571" s="1544" t="s">
        <v>4649</v>
      </c>
      <c r="K1571" s="1544"/>
      <c r="L1571" s="1544"/>
      <c r="M1571" s="1544"/>
      <c r="N1571" s="1544"/>
      <c r="O1571" s="1544"/>
    </row>
    <row r="1572" spans="8:15">
      <c r="H1572" s="1543" t="s">
        <v>4650</v>
      </c>
      <c r="I1572" s="1544" t="s">
        <v>506</v>
      </c>
      <c r="J1572" s="1544"/>
      <c r="K1572" s="1544">
        <f>ROW()</f>
        <v>1572</v>
      </c>
      <c r="L1572" s="1544">
        <f>K1572+COUNTIF($I$122:$I$1909,I1572)-1</f>
        <v>1592</v>
      </c>
      <c r="M1572" s="1544"/>
      <c r="N1572" s="1544"/>
      <c r="O1572" s="1544"/>
    </row>
    <row r="1573" spans="8:15">
      <c r="H1573" s="1543" t="s">
        <v>1343</v>
      </c>
      <c r="I1573" s="1544" t="s">
        <v>506</v>
      </c>
      <c r="J1573" s="1544" t="s">
        <v>1342</v>
      </c>
      <c r="K1573" s="1544"/>
      <c r="L1573" s="1544"/>
      <c r="M1573" s="1544"/>
      <c r="N1573" s="1544"/>
      <c r="O1573" s="1544"/>
    </row>
    <row r="1574" spans="8:15">
      <c r="H1574" s="1543" t="s">
        <v>4651</v>
      </c>
      <c r="I1574" s="1544" t="s">
        <v>506</v>
      </c>
      <c r="J1574" s="1544" t="s">
        <v>4652</v>
      </c>
      <c r="K1574" s="1544"/>
      <c r="L1574" s="1544"/>
      <c r="M1574" s="1544"/>
      <c r="N1574" s="1544"/>
      <c r="O1574" s="1544"/>
    </row>
    <row r="1575" spans="8:15">
      <c r="H1575" s="1543" t="s">
        <v>4653</v>
      </c>
      <c r="I1575" s="1544" t="s">
        <v>506</v>
      </c>
      <c r="J1575" s="1544" t="s">
        <v>4654</v>
      </c>
      <c r="K1575" s="1544"/>
      <c r="L1575" s="1544"/>
      <c r="M1575" s="1544"/>
      <c r="N1575" s="1544"/>
      <c r="O1575" s="1544"/>
    </row>
    <row r="1576" spans="8:15">
      <c r="H1576" s="1543" t="s">
        <v>4655</v>
      </c>
      <c r="I1576" s="1544" t="s">
        <v>506</v>
      </c>
      <c r="J1576" s="1544" t="s">
        <v>4656</v>
      </c>
      <c r="K1576" s="1544"/>
      <c r="L1576" s="1544"/>
      <c r="M1576" s="1544"/>
      <c r="N1576" s="1544"/>
      <c r="O1576" s="1544"/>
    </row>
    <row r="1577" spans="8:15">
      <c r="H1577" s="1543" t="s">
        <v>4657</v>
      </c>
      <c r="I1577" s="1544" t="s">
        <v>506</v>
      </c>
      <c r="J1577" s="1544" t="s">
        <v>4658</v>
      </c>
      <c r="K1577" s="1544"/>
      <c r="L1577" s="1544"/>
      <c r="M1577" s="1544"/>
      <c r="N1577" s="1544"/>
      <c r="O1577" s="1544"/>
    </row>
    <row r="1578" spans="8:15">
      <c r="H1578" s="1543" t="s">
        <v>4659</v>
      </c>
      <c r="I1578" s="1544" t="s">
        <v>506</v>
      </c>
      <c r="J1578" s="1544" t="s">
        <v>4660</v>
      </c>
      <c r="K1578" s="1544"/>
      <c r="L1578" s="1544"/>
      <c r="M1578" s="1544"/>
      <c r="N1578" s="1544"/>
      <c r="O1578" s="1544"/>
    </row>
    <row r="1579" spans="8:15">
      <c r="H1579" s="1543" t="s">
        <v>4661</v>
      </c>
      <c r="I1579" s="1544" t="s">
        <v>506</v>
      </c>
      <c r="J1579" s="1544" t="s">
        <v>4662</v>
      </c>
      <c r="K1579" s="1544"/>
      <c r="L1579" s="1544"/>
      <c r="M1579" s="1544"/>
      <c r="N1579" s="1544"/>
      <c r="O1579" s="1544"/>
    </row>
    <row r="1580" spans="8:15">
      <c r="H1580" s="1543" t="s">
        <v>4663</v>
      </c>
      <c r="I1580" s="1544" t="s">
        <v>506</v>
      </c>
      <c r="J1580" s="1544" t="s">
        <v>4664</v>
      </c>
      <c r="K1580" s="1544"/>
      <c r="L1580" s="1544"/>
      <c r="M1580" s="1544"/>
      <c r="N1580" s="1544"/>
      <c r="O1580" s="1544"/>
    </row>
    <row r="1581" spans="8:15">
      <c r="H1581" s="1543" t="s">
        <v>4665</v>
      </c>
      <c r="I1581" s="1544" t="s">
        <v>506</v>
      </c>
      <c r="J1581" s="1544" t="s">
        <v>4666</v>
      </c>
      <c r="K1581" s="1544"/>
      <c r="L1581" s="1544"/>
      <c r="M1581" s="1544"/>
      <c r="N1581" s="1544"/>
      <c r="O1581" s="1544"/>
    </row>
    <row r="1582" spans="8:15">
      <c r="H1582" s="1543" t="s">
        <v>4667</v>
      </c>
      <c r="I1582" s="1544" t="s">
        <v>506</v>
      </c>
      <c r="J1582" s="1544" t="s">
        <v>4668</v>
      </c>
      <c r="K1582" s="1544"/>
      <c r="L1582" s="1544"/>
      <c r="M1582" s="1544"/>
      <c r="N1582" s="1544"/>
      <c r="O1582" s="1544"/>
    </row>
    <row r="1583" spans="8:15">
      <c r="H1583" s="1543" t="s">
        <v>4669</v>
      </c>
      <c r="I1583" s="1544" t="s">
        <v>506</v>
      </c>
      <c r="J1583" s="1544" t="s">
        <v>4670</v>
      </c>
      <c r="K1583" s="1544"/>
      <c r="L1583" s="1544"/>
      <c r="M1583" s="1544"/>
      <c r="N1583" s="1544"/>
      <c r="O1583" s="1544"/>
    </row>
    <row r="1584" spans="8:15">
      <c r="H1584" s="1543" t="s">
        <v>4671</v>
      </c>
      <c r="I1584" s="1544" t="s">
        <v>506</v>
      </c>
      <c r="J1584" s="1544" t="s">
        <v>4672</v>
      </c>
      <c r="K1584" s="1544"/>
      <c r="L1584" s="1544"/>
      <c r="M1584" s="1544"/>
      <c r="N1584" s="1544"/>
      <c r="O1584" s="1544"/>
    </row>
    <row r="1585" spans="8:15">
      <c r="H1585" s="1543" t="s">
        <v>4673</v>
      </c>
      <c r="I1585" s="1544" t="s">
        <v>506</v>
      </c>
      <c r="J1585" s="1544" t="s">
        <v>4674</v>
      </c>
      <c r="K1585" s="1544"/>
      <c r="L1585" s="1544"/>
      <c r="M1585" s="1544"/>
      <c r="N1585" s="1544"/>
      <c r="O1585" s="1544"/>
    </row>
    <row r="1586" spans="8:15">
      <c r="H1586" s="1543" t="s">
        <v>4675</v>
      </c>
      <c r="I1586" s="1544" t="s">
        <v>506</v>
      </c>
      <c r="J1586" s="1544" t="s">
        <v>2099</v>
      </c>
      <c r="K1586" s="1544"/>
      <c r="L1586" s="1544"/>
      <c r="M1586" s="1544"/>
      <c r="N1586" s="1544"/>
      <c r="O1586" s="1544"/>
    </row>
    <row r="1587" spans="8:15">
      <c r="H1587" s="1543" t="s">
        <v>4676</v>
      </c>
      <c r="I1587" s="1544" t="s">
        <v>506</v>
      </c>
      <c r="J1587" s="1544" t="s">
        <v>4677</v>
      </c>
      <c r="K1587" s="1544"/>
      <c r="L1587" s="1544"/>
      <c r="M1587" s="1544"/>
      <c r="N1587" s="1544"/>
      <c r="O1587" s="1544"/>
    </row>
    <row r="1588" spans="8:15">
      <c r="H1588" s="1543" t="s">
        <v>4678</v>
      </c>
      <c r="I1588" s="1544" t="s">
        <v>506</v>
      </c>
      <c r="J1588" s="1544" t="s">
        <v>4679</v>
      </c>
      <c r="K1588" s="1544"/>
      <c r="L1588" s="1544"/>
      <c r="M1588" s="1544"/>
      <c r="N1588" s="1544"/>
      <c r="O1588" s="1544"/>
    </row>
    <row r="1589" spans="8:15">
      <c r="H1589" s="1543" t="s">
        <v>4680</v>
      </c>
      <c r="I1589" s="1544" t="s">
        <v>506</v>
      </c>
      <c r="J1589" s="1544" t="s">
        <v>4681</v>
      </c>
      <c r="K1589" s="1544"/>
      <c r="L1589" s="1544"/>
      <c r="M1589" s="1544"/>
      <c r="N1589" s="1544"/>
      <c r="O1589" s="1544"/>
    </row>
    <row r="1590" spans="8:15">
      <c r="H1590" s="1543" t="s">
        <v>4682</v>
      </c>
      <c r="I1590" s="1544" t="s">
        <v>506</v>
      </c>
      <c r="J1590" s="1544" t="s">
        <v>4683</v>
      </c>
      <c r="K1590" s="1544"/>
      <c r="L1590" s="1544"/>
      <c r="M1590" s="1544"/>
      <c r="N1590" s="1544"/>
      <c r="O1590" s="1544"/>
    </row>
    <row r="1591" spans="8:15">
      <c r="H1591" s="1543" t="s">
        <v>4684</v>
      </c>
      <c r="I1591" s="1544" t="s">
        <v>506</v>
      </c>
      <c r="J1591" s="1544" t="s">
        <v>4685</v>
      </c>
      <c r="K1591" s="1544"/>
      <c r="L1591" s="1544"/>
      <c r="M1591" s="1544"/>
      <c r="N1591" s="1544"/>
      <c r="O1591" s="1544"/>
    </row>
    <row r="1592" spans="8:15">
      <c r="H1592" s="1543" t="s">
        <v>4686</v>
      </c>
      <c r="I1592" s="1544" t="s">
        <v>506</v>
      </c>
      <c r="J1592" s="1544" t="s">
        <v>4687</v>
      </c>
      <c r="K1592" s="1544"/>
      <c r="L1592" s="1544"/>
      <c r="M1592" s="1544"/>
      <c r="N1592" s="1544"/>
      <c r="O1592" s="1544"/>
    </row>
    <row r="1593" spans="8:15">
      <c r="H1593" s="1543" t="s">
        <v>4688</v>
      </c>
      <c r="I1593" s="1544" t="s">
        <v>507</v>
      </c>
      <c r="J1593" s="1544"/>
      <c r="K1593" s="1544">
        <f>ROW()</f>
        <v>1593</v>
      </c>
      <c r="L1593" s="1544">
        <f>K1593+COUNTIF($I$122:$I$1909,I1593)-1</f>
        <v>1627</v>
      </c>
      <c r="M1593" s="1544"/>
      <c r="N1593" s="1544"/>
      <c r="O1593" s="1544"/>
    </row>
    <row r="1594" spans="8:15">
      <c r="H1594" s="1543" t="s">
        <v>1345</v>
      </c>
      <c r="I1594" s="1544" t="s">
        <v>507</v>
      </c>
      <c r="J1594" s="1544" t="s">
        <v>1344</v>
      </c>
      <c r="K1594" s="1544"/>
      <c r="L1594" s="1544"/>
      <c r="M1594" s="1544"/>
      <c r="N1594" s="1544"/>
      <c r="O1594" s="1544"/>
    </row>
    <row r="1595" spans="8:15">
      <c r="H1595" s="1543" t="s">
        <v>4689</v>
      </c>
      <c r="I1595" s="1544" t="s">
        <v>507</v>
      </c>
      <c r="J1595" s="1544" t="s">
        <v>4690</v>
      </c>
      <c r="K1595" s="1544"/>
      <c r="L1595" s="1544"/>
      <c r="M1595" s="1544"/>
      <c r="N1595" s="1544"/>
      <c r="O1595" s="1544"/>
    </row>
    <row r="1596" spans="8:15">
      <c r="H1596" s="1543" t="s">
        <v>4691</v>
      </c>
      <c r="I1596" s="1544" t="s">
        <v>507</v>
      </c>
      <c r="J1596" s="1544" t="s">
        <v>4692</v>
      </c>
      <c r="K1596" s="1544"/>
      <c r="L1596" s="1544"/>
      <c r="M1596" s="1544"/>
      <c r="N1596" s="1544"/>
      <c r="O1596" s="1544"/>
    </row>
    <row r="1597" spans="8:15">
      <c r="H1597" s="1543" t="s">
        <v>4693</v>
      </c>
      <c r="I1597" s="1544" t="s">
        <v>507</v>
      </c>
      <c r="J1597" s="1544" t="s">
        <v>4694</v>
      </c>
      <c r="K1597" s="1544"/>
      <c r="L1597" s="1544"/>
      <c r="M1597" s="1544"/>
      <c r="N1597" s="1544"/>
      <c r="O1597" s="1544"/>
    </row>
    <row r="1598" spans="8:15">
      <c r="H1598" s="1543" t="s">
        <v>4695</v>
      </c>
      <c r="I1598" s="1544" t="s">
        <v>507</v>
      </c>
      <c r="J1598" s="1544" t="s">
        <v>4696</v>
      </c>
      <c r="K1598" s="1544"/>
      <c r="L1598" s="1544"/>
      <c r="M1598" s="1544"/>
      <c r="N1598" s="1544"/>
      <c r="O1598" s="1544"/>
    </row>
    <row r="1599" spans="8:15">
      <c r="H1599" s="1543" t="s">
        <v>4697</v>
      </c>
      <c r="I1599" s="1544" t="s">
        <v>507</v>
      </c>
      <c r="J1599" s="1544" t="s">
        <v>4698</v>
      </c>
      <c r="K1599" s="1544"/>
      <c r="L1599" s="1544"/>
      <c r="M1599" s="1544"/>
      <c r="N1599" s="1544"/>
      <c r="O1599" s="1544"/>
    </row>
    <row r="1600" spans="8:15">
      <c r="H1600" s="1543" t="s">
        <v>4699</v>
      </c>
      <c r="I1600" s="1544" t="s">
        <v>507</v>
      </c>
      <c r="J1600" s="1544" t="s">
        <v>4700</v>
      </c>
      <c r="K1600" s="1544"/>
      <c r="L1600" s="1544"/>
      <c r="M1600" s="1544"/>
      <c r="N1600" s="1544"/>
      <c r="O1600" s="1544"/>
    </row>
    <row r="1601" spans="8:15">
      <c r="H1601" s="1543" t="s">
        <v>4701</v>
      </c>
      <c r="I1601" s="1544" t="s">
        <v>507</v>
      </c>
      <c r="J1601" s="1544" t="s">
        <v>4702</v>
      </c>
      <c r="K1601" s="1544"/>
      <c r="L1601" s="1544"/>
      <c r="M1601" s="1544"/>
      <c r="N1601" s="1544"/>
      <c r="O1601" s="1544"/>
    </row>
    <row r="1602" spans="8:15">
      <c r="H1602" s="1543" t="s">
        <v>4703</v>
      </c>
      <c r="I1602" s="1544" t="s">
        <v>507</v>
      </c>
      <c r="J1602" s="1544" t="s">
        <v>4704</v>
      </c>
      <c r="K1602" s="1544"/>
      <c r="L1602" s="1544"/>
      <c r="M1602" s="1544"/>
      <c r="N1602" s="1544"/>
      <c r="O1602" s="1544"/>
    </row>
    <row r="1603" spans="8:15">
      <c r="H1603" s="1543" t="s">
        <v>4705</v>
      </c>
      <c r="I1603" s="1544" t="s">
        <v>507</v>
      </c>
      <c r="J1603" s="1544" t="s">
        <v>4706</v>
      </c>
      <c r="K1603" s="1544"/>
      <c r="L1603" s="1544"/>
      <c r="M1603" s="1544"/>
      <c r="N1603" s="1544"/>
      <c r="O1603" s="1544"/>
    </row>
    <row r="1604" spans="8:15">
      <c r="H1604" s="1543" t="s">
        <v>4707</v>
      </c>
      <c r="I1604" s="1544" t="s">
        <v>507</v>
      </c>
      <c r="J1604" s="1544" t="s">
        <v>4708</v>
      </c>
      <c r="K1604" s="1544"/>
      <c r="L1604" s="1544"/>
      <c r="M1604" s="1544"/>
      <c r="N1604" s="1544"/>
      <c r="O1604" s="1544"/>
    </row>
    <row r="1605" spans="8:15">
      <c r="H1605" s="1543" t="s">
        <v>4709</v>
      </c>
      <c r="I1605" s="1544" t="s">
        <v>507</v>
      </c>
      <c r="J1605" s="1544" t="s">
        <v>4710</v>
      </c>
      <c r="K1605" s="1544"/>
      <c r="L1605" s="1544"/>
      <c r="M1605" s="1544"/>
      <c r="N1605" s="1544"/>
      <c r="O1605" s="1544"/>
    </row>
    <row r="1606" spans="8:15">
      <c r="H1606" s="1543" t="s">
        <v>4711</v>
      </c>
      <c r="I1606" s="1544" t="s">
        <v>507</v>
      </c>
      <c r="J1606" s="1544" t="s">
        <v>4712</v>
      </c>
      <c r="K1606" s="1544"/>
      <c r="L1606" s="1544"/>
      <c r="M1606" s="1544"/>
      <c r="N1606" s="1544"/>
      <c r="O1606" s="1544"/>
    </row>
    <row r="1607" spans="8:15">
      <c r="H1607" s="1543" t="s">
        <v>4713</v>
      </c>
      <c r="I1607" s="1544" t="s">
        <v>507</v>
      </c>
      <c r="J1607" s="1544" t="s">
        <v>4714</v>
      </c>
      <c r="K1607" s="1544"/>
      <c r="L1607" s="1544"/>
      <c r="M1607" s="1544"/>
      <c r="N1607" s="1544"/>
      <c r="O1607" s="1544"/>
    </row>
    <row r="1608" spans="8:15">
      <c r="H1608" s="1543" t="s">
        <v>4715</v>
      </c>
      <c r="I1608" s="1544" t="s">
        <v>507</v>
      </c>
      <c r="J1608" s="1544" t="s">
        <v>4716</v>
      </c>
      <c r="K1608" s="1544"/>
      <c r="L1608" s="1544"/>
      <c r="M1608" s="1544"/>
      <c r="N1608" s="1544"/>
      <c r="O1608" s="1544"/>
    </row>
    <row r="1609" spans="8:15">
      <c r="H1609" s="1543" t="s">
        <v>4717</v>
      </c>
      <c r="I1609" s="1544" t="s">
        <v>507</v>
      </c>
      <c r="J1609" s="1544" t="s">
        <v>4718</v>
      </c>
      <c r="K1609" s="1544"/>
      <c r="L1609" s="1544"/>
      <c r="M1609" s="1544"/>
      <c r="N1609" s="1544"/>
      <c r="O1609" s="1544"/>
    </row>
    <row r="1610" spans="8:15">
      <c r="H1610" s="1543" t="s">
        <v>4719</v>
      </c>
      <c r="I1610" s="1544" t="s">
        <v>507</v>
      </c>
      <c r="J1610" s="1544" t="s">
        <v>4720</v>
      </c>
      <c r="K1610" s="1544"/>
      <c r="L1610" s="1544"/>
      <c r="M1610" s="1544"/>
      <c r="N1610" s="1544"/>
      <c r="O1610" s="1544"/>
    </row>
    <row r="1611" spans="8:15">
      <c r="H1611" s="1543" t="s">
        <v>4721</v>
      </c>
      <c r="I1611" s="1544" t="s">
        <v>507</v>
      </c>
      <c r="J1611" s="1544" t="s">
        <v>4722</v>
      </c>
      <c r="K1611" s="1544"/>
      <c r="L1611" s="1544"/>
      <c r="M1611" s="1544"/>
      <c r="N1611" s="1544"/>
      <c r="O1611" s="1544"/>
    </row>
    <row r="1612" spans="8:15">
      <c r="H1612" s="1543" t="s">
        <v>4723</v>
      </c>
      <c r="I1612" s="1544" t="s">
        <v>507</v>
      </c>
      <c r="J1612" s="1544" t="s">
        <v>4724</v>
      </c>
      <c r="K1612" s="1544"/>
      <c r="L1612" s="1544"/>
      <c r="M1612" s="1544"/>
      <c r="N1612" s="1544"/>
      <c r="O1612" s="1544"/>
    </row>
    <row r="1613" spans="8:15">
      <c r="H1613" s="1543" t="s">
        <v>4725</v>
      </c>
      <c r="I1613" s="1544" t="s">
        <v>507</v>
      </c>
      <c r="J1613" s="1544" t="s">
        <v>4726</v>
      </c>
      <c r="K1613" s="1544"/>
      <c r="L1613" s="1544"/>
      <c r="M1613" s="1544"/>
      <c r="N1613" s="1544"/>
      <c r="O1613" s="1544"/>
    </row>
    <row r="1614" spans="8:15">
      <c r="H1614" s="1543" t="s">
        <v>4727</v>
      </c>
      <c r="I1614" s="1544" t="s">
        <v>507</v>
      </c>
      <c r="J1614" s="1544" t="s">
        <v>4728</v>
      </c>
      <c r="K1614" s="1544"/>
      <c r="L1614" s="1544"/>
      <c r="M1614" s="1544"/>
      <c r="N1614" s="1544"/>
      <c r="O1614" s="1544"/>
    </row>
    <row r="1615" spans="8:15">
      <c r="H1615" s="1543" t="s">
        <v>4729</v>
      </c>
      <c r="I1615" s="1544" t="s">
        <v>507</v>
      </c>
      <c r="J1615" s="1544" t="s">
        <v>4730</v>
      </c>
      <c r="K1615" s="1544"/>
      <c r="L1615" s="1544"/>
      <c r="M1615" s="1544"/>
      <c r="N1615" s="1544"/>
      <c r="O1615" s="1544"/>
    </row>
    <row r="1616" spans="8:15">
      <c r="H1616" s="1543" t="s">
        <v>4731</v>
      </c>
      <c r="I1616" s="1544" t="s">
        <v>507</v>
      </c>
      <c r="J1616" s="1544" t="s">
        <v>4732</v>
      </c>
      <c r="K1616" s="1544"/>
      <c r="L1616" s="1544"/>
      <c r="M1616" s="1544"/>
      <c r="N1616" s="1544"/>
      <c r="O1616" s="1544"/>
    </row>
    <row r="1617" spans="8:15">
      <c r="H1617" s="1543" t="s">
        <v>4733</v>
      </c>
      <c r="I1617" s="1544" t="s">
        <v>507</v>
      </c>
      <c r="J1617" s="1544" t="s">
        <v>4734</v>
      </c>
      <c r="K1617" s="1544"/>
      <c r="L1617" s="1544"/>
      <c r="M1617" s="1544"/>
      <c r="N1617" s="1544"/>
      <c r="O1617" s="1544"/>
    </row>
    <row r="1618" spans="8:15">
      <c r="H1618" s="1543" t="s">
        <v>4735</v>
      </c>
      <c r="I1618" s="1544" t="s">
        <v>507</v>
      </c>
      <c r="J1618" s="1544" t="s">
        <v>4736</v>
      </c>
      <c r="K1618" s="1544"/>
      <c r="L1618" s="1544"/>
      <c r="M1618" s="1544"/>
      <c r="N1618" s="1544"/>
      <c r="O1618" s="1544"/>
    </row>
    <row r="1619" spans="8:15">
      <c r="H1619" s="1543" t="s">
        <v>4737</v>
      </c>
      <c r="I1619" s="1544" t="s">
        <v>507</v>
      </c>
      <c r="J1619" s="1544" t="s">
        <v>4738</v>
      </c>
      <c r="K1619" s="1544"/>
      <c r="L1619" s="1544"/>
      <c r="M1619" s="1544"/>
      <c r="N1619" s="1544"/>
      <c r="O1619" s="1544"/>
    </row>
    <row r="1620" spans="8:15">
      <c r="H1620" s="1543" t="s">
        <v>4739</v>
      </c>
      <c r="I1620" s="1544" t="s">
        <v>507</v>
      </c>
      <c r="J1620" s="1544" t="s">
        <v>4740</v>
      </c>
      <c r="K1620" s="1544"/>
      <c r="L1620" s="1544"/>
      <c r="M1620" s="1544"/>
      <c r="N1620" s="1544"/>
      <c r="O1620" s="1544"/>
    </row>
    <row r="1621" spans="8:15">
      <c r="H1621" s="1543" t="s">
        <v>4741</v>
      </c>
      <c r="I1621" s="1544" t="s">
        <v>507</v>
      </c>
      <c r="J1621" s="1544" t="s">
        <v>4742</v>
      </c>
      <c r="K1621" s="1544"/>
      <c r="L1621" s="1544"/>
      <c r="M1621" s="1544"/>
      <c r="N1621" s="1544"/>
      <c r="O1621" s="1544"/>
    </row>
    <row r="1622" spans="8:15">
      <c r="H1622" s="1543" t="s">
        <v>4743</v>
      </c>
      <c r="I1622" s="1544" t="s">
        <v>507</v>
      </c>
      <c r="J1622" s="1544" t="s">
        <v>4744</v>
      </c>
      <c r="K1622" s="1544"/>
      <c r="L1622" s="1544"/>
      <c r="M1622" s="1544"/>
      <c r="N1622" s="1544"/>
      <c r="O1622" s="1544"/>
    </row>
    <row r="1623" spans="8:15">
      <c r="H1623" s="1543" t="s">
        <v>4745</v>
      </c>
      <c r="I1623" s="1544" t="s">
        <v>507</v>
      </c>
      <c r="J1623" s="1544" t="s">
        <v>4746</v>
      </c>
      <c r="K1623" s="1544"/>
      <c r="L1623" s="1544"/>
      <c r="M1623" s="1544"/>
      <c r="N1623" s="1544"/>
      <c r="O1623" s="1544"/>
    </row>
    <row r="1624" spans="8:15">
      <c r="H1624" s="1543" t="s">
        <v>4747</v>
      </c>
      <c r="I1624" s="1544" t="s">
        <v>507</v>
      </c>
      <c r="J1624" s="1544" t="s">
        <v>4748</v>
      </c>
      <c r="K1624" s="1544"/>
      <c r="L1624" s="1544"/>
      <c r="M1624" s="1544"/>
      <c r="N1624" s="1544"/>
      <c r="O1624" s="1544"/>
    </row>
    <row r="1625" spans="8:15">
      <c r="H1625" s="1543" t="s">
        <v>4749</v>
      </c>
      <c r="I1625" s="1544" t="s">
        <v>507</v>
      </c>
      <c r="J1625" s="1544" t="s">
        <v>4750</v>
      </c>
      <c r="K1625" s="1544"/>
      <c r="L1625" s="1544"/>
      <c r="M1625" s="1544"/>
      <c r="N1625" s="1544"/>
      <c r="O1625" s="1544"/>
    </row>
    <row r="1626" spans="8:15">
      <c r="H1626" s="1543" t="s">
        <v>4751</v>
      </c>
      <c r="I1626" s="1544" t="s">
        <v>507</v>
      </c>
      <c r="J1626" s="1544" t="s">
        <v>4752</v>
      </c>
      <c r="K1626" s="1544"/>
      <c r="L1626" s="1544"/>
      <c r="M1626" s="1544"/>
      <c r="N1626" s="1544"/>
      <c r="O1626" s="1544"/>
    </row>
    <row r="1627" spans="8:15">
      <c r="H1627" s="1543" t="s">
        <v>4753</v>
      </c>
      <c r="I1627" s="1544" t="s">
        <v>507</v>
      </c>
      <c r="J1627" s="1544" t="s">
        <v>4754</v>
      </c>
      <c r="K1627" s="1544"/>
      <c r="L1627" s="1544"/>
      <c r="M1627" s="1544"/>
      <c r="N1627" s="1544"/>
      <c r="O1627" s="1544"/>
    </row>
    <row r="1628" spans="8:15">
      <c r="H1628" s="1543" t="s">
        <v>4755</v>
      </c>
      <c r="I1628" s="1544" t="s">
        <v>508</v>
      </c>
      <c r="J1628" s="1544"/>
      <c r="K1628" s="1544">
        <f>ROW()</f>
        <v>1628</v>
      </c>
      <c r="L1628" s="1544">
        <f>K1628+COUNTIF($I$122:$I$1909,I1628)-1</f>
        <v>1688</v>
      </c>
      <c r="M1628" s="1544"/>
      <c r="N1628" s="1544"/>
      <c r="O1628" s="1544"/>
    </row>
    <row r="1629" spans="8:15">
      <c r="H1629" s="1543" t="s">
        <v>1263</v>
      </c>
      <c r="I1629" s="1544" t="s">
        <v>508</v>
      </c>
      <c r="J1629" s="1544" t="s">
        <v>1262</v>
      </c>
      <c r="K1629" s="1544"/>
      <c r="L1629" s="1544"/>
      <c r="M1629" s="1544"/>
      <c r="N1629" s="1544"/>
      <c r="O1629" s="1544"/>
    </row>
    <row r="1630" spans="8:15">
      <c r="H1630" s="1543" t="s">
        <v>1265</v>
      </c>
      <c r="I1630" s="1544" t="s">
        <v>508</v>
      </c>
      <c r="J1630" s="1544" t="s">
        <v>1264</v>
      </c>
      <c r="K1630" s="1544"/>
      <c r="L1630" s="1544"/>
      <c r="M1630" s="1544"/>
      <c r="N1630" s="1544"/>
      <c r="O1630" s="1544"/>
    </row>
    <row r="1631" spans="8:15">
      <c r="H1631" s="1543" t="s">
        <v>4756</v>
      </c>
      <c r="I1631" s="1544" t="s">
        <v>508</v>
      </c>
      <c r="J1631" s="1544" t="s">
        <v>4757</v>
      </c>
      <c r="K1631" s="1544"/>
      <c r="L1631" s="1544"/>
      <c r="M1631" s="1544"/>
      <c r="N1631" s="1544"/>
      <c r="O1631" s="1544"/>
    </row>
    <row r="1632" spans="8:15">
      <c r="H1632" s="1543" t="s">
        <v>1347</v>
      </c>
      <c r="I1632" s="1544" t="s">
        <v>508</v>
      </c>
      <c r="J1632" s="1544" t="s">
        <v>1346</v>
      </c>
      <c r="K1632" s="1544"/>
      <c r="L1632" s="1544"/>
      <c r="M1632" s="1544"/>
      <c r="N1632" s="1544"/>
      <c r="O1632" s="1544"/>
    </row>
    <row r="1633" spans="8:15">
      <c r="H1633" s="1543" t="s">
        <v>4758</v>
      </c>
      <c r="I1633" s="1544" t="s">
        <v>508</v>
      </c>
      <c r="J1633" s="1544" t="s">
        <v>4759</v>
      </c>
      <c r="K1633" s="1544"/>
      <c r="L1633" s="1544"/>
      <c r="M1633" s="1544"/>
      <c r="N1633" s="1544"/>
      <c r="O1633" s="1544"/>
    </row>
    <row r="1634" spans="8:15">
      <c r="H1634" s="1543" t="s">
        <v>4760</v>
      </c>
      <c r="I1634" s="1544" t="s">
        <v>508</v>
      </c>
      <c r="J1634" s="1544" t="s">
        <v>4761</v>
      </c>
      <c r="K1634" s="1544"/>
      <c r="L1634" s="1544"/>
      <c r="M1634" s="1544"/>
      <c r="N1634" s="1544"/>
      <c r="O1634" s="1544"/>
    </row>
    <row r="1635" spans="8:15">
      <c r="H1635" s="1543" t="s">
        <v>4762</v>
      </c>
      <c r="I1635" s="1544" t="s">
        <v>508</v>
      </c>
      <c r="J1635" s="1544" t="s">
        <v>4763</v>
      </c>
      <c r="K1635" s="1544"/>
      <c r="L1635" s="1544"/>
      <c r="M1635" s="1544"/>
      <c r="N1635" s="1544"/>
      <c r="O1635" s="1544"/>
    </row>
    <row r="1636" spans="8:15">
      <c r="H1636" s="1543" t="s">
        <v>4764</v>
      </c>
      <c r="I1636" s="1544" t="s">
        <v>508</v>
      </c>
      <c r="J1636" s="1544" t="s">
        <v>4765</v>
      </c>
      <c r="K1636" s="1544"/>
      <c r="L1636" s="1544"/>
      <c r="M1636" s="1544"/>
      <c r="N1636" s="1544"/>
      <c r="O1636" s="1544"/>
    </row>
    <row r="1637" spans="8:15">
      <c r="H1637" s="1543" t="s">
        <v>4766</v>
      </c>
      <c r="I1637" s="1544" t="s">
        <v>508</v>
      </c>
      <c r="J1637" s="1544" t="s">
        <v>4767</v>
      </c>
      <c r="K1637" s="1544"/>
      <c r="L1637" s="1544"/>
      <c r="M1637" s="1544"/>
      <c r="N1637" s="1544"/>
      <c r="O1637" s="1544"/>
    </row>
    <row r="1638" spans="8:15">
      <c r="H1638" s="1543" t="s">
        <v>4768</v>
      </c>
      <c r="I1638" s="1544" t="s">
        <v>508</v>
      </c>
      <c r="J1638" s="1544" t="s">
        <v>4769</v>
      </c>
      <c r="K1638" s="1544"/>
      <c r="L1638" s="1544"/>
      <c r="M1638" s="1544"/>
      <c r="N1638" s="1544"/>
      <c r="O1638" s="1544"/>
    </row>
    <row r="1639" spans="8:15">
      <c r="H1639" s="1543" t="s">
        <v>4770</v>
      </c>
      <c r="I1639" s="1544" t="s">
        <v>508</v>
      </c>
      <c r="J1639" s="1544" t="s">
        <v>4771</v>
      </c>
      <c r="K1639" s="1544"/>
      <c r="L1639" s="1544"/>
      <c r="M1639" s="1544"/>
      <c r="N1639" s="1544"/>
      <c r="O1639" s="1544"/>
    </row>
    <row r="1640" spans="8:15">
      <c r="H1640" s="1543" t="s">
        <v>4772</v>
      </c>
      <c r="I1640" s="1544" t="s">
        <v>508</v>
      </c>
      <c r="J1640" s="1544" t="s">
        <v>4773</v>
      </c>
      <c r="K1640" s="1544"/>
      <c r="L1640" s="1544"/>
      <c r="M1640" s="1544"/>
      <c r="N1640" s="1544"/>
      <c r="O1640" s="1544"/>
    </row>
    <row r="1641" spans="8:15">
      <c r="H1641" s="1543" t="s">
        <v>4774</v>
      </c>
      <c r="I1641" s="1544" t="s">
        <v>508</v>
      </c>
      <c r="J1641" s="1544" t="s">
        <v>4775</v>
      </c>
      <c r="K1641" s="1544"/>
      <c r="L1641" s="1544"/>
      <c r="M1641" s="1544"/>
      <c r="N1641" s="1544"/>
      <c r="O1641" s="1544"/>
    </row>
    <row r="1642" spans="8:15">
      <c r="H1642" s="1543" t="s">
        <v>4776</v>
      </c>
      <c r="I1642" s="1544" t="s">
        <v>508</v>
      </c>
      <c r="J1642" s="1544" t="s">
        <v>4777</v>
      </c>
      <c r="K1642" s="1544"/>
      <c r="L1642" s="1544"/>
      <c r="M1642" s="1544"/>
      <c r="N1642" s="1544"/>
      <c r="O1642" s="1544"/>
    </row>
    <row r="1643" spans="8:15">
      <c r="H1643" s="1543" t="s">
        <v>4778</v>
      </c>
      <c r="I1643" s="1544" t="s">
        <v>508</v>
      </c>
      <c r="J1643" s="1544" t="s">
        <v>4779</v>
      </c>
      <c r="K1643" s="1544"/>
      <c r="L1643" s="1544"/>
      <c r="M1643" s="1544"/>
      <c r="N1643" s="1544"/>
      <c r="O1643" s="1544"/>
    </row>
    <row r="1644" spans="8:15">
      <c r="H1644" s="1543" t="s">
        <v>4780</v>
      </c>
      <c r="I1644" s="1544" t="s">
        <v>508</v>
      </c>
      <c r="J1644" s="1544" t="s">
        <v>4781</v>
      </c>
      <c r="K1644" s="1544"/>
      <c r="L1644" s="1544"/>
      <c r="M1644" s="1544"/>
      <c r="N1644" s="1544"/>
      <c r="O1644" s="1544"/>
    </row>
    <row r="1645" spans="8:15">
      <c r="H1645" s="1543" t="s">
        <v>4782</v>
      </c>
      <c r="I1645" s="1544" t="s">
        <v>508</v>
      </c>
      <c r="J1645" s="1544" t="s">
        <v>4783</v>
      </c>
      <c r="K1645" s="1544"/>
      <c r="L1645" s="1544"/>
      <c r="M1645" s="1544"/>
      <c r="N1645" s="1544"/>
      <c r="O1645" s="1544"/>
    </row>
    <row r="1646" spans="8:15">
      <c r="H1646" s="1543" t="s">
        <v>4784</v>
      </c>
      <c r="I1646" s="1544" t="s">
        <v>508</v>
      </c>
      <c r="J1646" s="1544" t="s">
        <v>4785</v>
      </c>
      <c r="K1646" s="1544"/>
      <c r="L1646" s="1544"/>
      <c r="M1646" s="1544"/>
      <c r="N1646" s="1544"/>
      <c r="O1646" s="1544"/>
    </row>
    <row r="1647" spans="8:15">
      <c r="H1647" s="1543" t="s">
        <v>4786</v>
      </c>
      <c r="I1647" s="1544" t="s">
        <v>508</v>
      </c>
      <c r="J1647" s="1544" t="s">
        <v>4787</v>
      </c>
      <c r="K1647" s="1544"/>
      <c r="L1647" s="1544"/>
      <c r="M1647" s="1544"/>
      <c r="N1647" s="1544"/>
      <c r="O1647" s="1544"/>
    </row>
    <row r="1648" spans="8:15">
      <c r="H1648" s="1543" t="s">
        <v>4788</v>
      </c>
      <c r="I1648" s="1544" t="s">
        <v>508</v>
      </c>
      <c r="J1648" s="1544" t="s">
        <v>4789</v>
      </c>
      <c r="K1648" s="1544"/>
      <c r="L1648" s="1544"/>
      <c r="M1648" s="1544"/>
      <c r="N1648" s="1544"/>
      <c r="O1648" s="1544"/>
    </row>
    <row r="1649" spans="8:15">
      <c r="H1649" s="1543" t="s">
        <v>4790</v>
      </c>
      <c r="I1649" s="1544" t="s">
        <v>508</v>
      </c>
      <c r="J1649" s="1544" t="s">
        <v>4791</v>
      </c>
      <c r="K1649" s="1544"/>
      <c r="L1649" s="1544"/>
      <c r="M1649" s="1544"/>
      <c r="N1649" s="1544"/>
      <c r="O1649" s="1544"/>
    </row>
    <row r="1650" spans="8:15">
      <c r="H1650" s="1543" t="s">
        <v>4792</v>
      </c>
      <c r="I1650" s="1544" t="s">
        <v>508</v>
      </c>
      <c r="J1650" s="1544" t="s">
        <v>4793</v>
      </c>
      <c r="K1650" s="1544"/>
      <c r="L1650" s="1544"/>
      <c r="M1650" s="1544"/>
      <c r="N1650" s="1544"/>
      <c r="O1650" s="1544"/>
    </row>
    <row r="1651" spans="8:15">
      <c r="H1651" s="1543" t="s">
        <v>4794</v>
      </c>
      <c r="I1651" s="1544" t="s">
        <v>508</v>
      </c>
      <c r="J1651" s="1544" t="s">
        <v>4795</v>
      </c>
      <c r="K1651" s="1544"/>
      <c r="L1651" s="1544"/>
      <c r="M1651" s="1544"/>
      <c r="N1651" s="1544"/>
      <c r="O1651" s="1544"/>
    </row>
    <row r="1652" spans="8:15">
      <c r="H1652" s="1543" t="s">
        <v>4796</v>
      </c>
      <c r="I1652" s="1544" t="s">
        <v>508</v>
      </c>
      <c r="J1652" s="1544" t="s">
        <v>4797</v>
      </c>
      <c r="K1652" s="1544"/>
      <c r="L1652" s="1544"/>
      <c r="M1652" s="1544"/>
      <c r="N1652" s="1544"/>
      <c r="O1652" s="1544"/>
    </row>
    <row r="1653" spans="8:15">
      <c r="H1653" s="1543" t="s">
        <v>4798</v>
      </c>
      <c r="I1653" s="1544" t="s">
        <v>508</v>
      </c>
      <c r="J1653" s="1544" t="s">
        <v>4799</v>
      </c>
      <c r="K1653" s="1544"/>
      <c r="L1653" s="1544"/>
      <c r="M1653" s="1544"/>
      <c r="N1653" s="1544"/>
      <c r="O1653" s="1544"/>
    </row>
    <row r="1654" spans="8:15">
      <c r="H1654" s="1543" t="s">
        <v>4800</v>
      </c>
      <c r="I1654" s="1544" t="s">
        <v>508</v>
      </c>
      <c r="J1654" s="1544" t="s">
        <v>4801</v>
      </c>
      <c r="K1654" s="1544"/>
      <c r="L1654" s="1544"/>
      <c r="M1654" s="1544"/>
      <c r="N1654" s="1544"/>
      <c r="O1654" s="1544"/>
    </row>
    <row r="1655" spans="8:15">
      <c r="H1655" s="1543" t="s">
        <v>4802</v>
      </c>
      <c r="I1655" s="1544" t="s">
        <v>508</v>
      </c>
      <c r="J1655" s="1544" t="s">
        <v>4803</v>
      </c>
      <c r="K1655" s="1544"/>
      <c r="L1655" s="1544"/>
      <c r="M1655" s="1544"/>
      <c r="N1655" s="1544"/>
      <c r="O1655" s="1544"/>
    </row>
    <row r="1656" spans="8:15">
      <c r="H1656" s="1543" t="s">
        <v>4804</v>
      </c>
      <c r="I1656" s="1544" t="s">
        <v>508</v>
      </c>
      <c r="J1656" s="1544" t="s">
        <v>4805</v>
      </c>
      <c r="K1656" s="1544"/>
      <c r="L1656" s="1544"/>
      <c r="M1656" s="1544"/>
      <c r="N1656" s="1544"/>
      <c r="O1656" s="1544"/>
    </row>
    <row r="1657" spans="8:15">
      <c r="H1657" s="1543" t="s">
        <v>4806</v>
      </c>
      <c r="I1657" s="1544" t="s">
        <v>4807</v>
      </c>
      <c r="J1657" s="1544" t="s">
        <v>4808</v>
      </c>
      <c r="K1657" s="1544"/>
      <c r="L1657" s="1544"/>
      <c r="M1657" s="1544"/>
      <c r="N1657" s="1544"/>
      <c r="O1657" s="1544"/>
    </row>
    <row r="1658" spans="8:15">
      <c r="H1658" s="1543" t="s">
        <v>4809</v>
      </c>
      <c r="I1658" s="1544" t="s">
        <v>508</v>
      </c>
      <c r="J1658" s="1544" t="s">
        <v>4810</v>
      </c>
      <c r="K1658" s="1544"/>
      <c r="L1658" s="1544"/>
      <c r="M1658" s="1544"/>
      <c r="N1658" s="1544"/>
      <c r="O1658" s="1544"/>
    </row>
    <row r="1659" spans="8:15">
      <c r="H1659" s="1543" t="s">
        <v>4811</v>
      </c>
      <c r="I1659" s="1544" t="s">
        <v>508</v>
      </c>
      <c r="J1659" s="1544" t="s">
        <v>4812</v>
      </c>
      <c r="K1659" s="1544"/>
      <c r="L1659" s="1544"/>
      <c r="M1659" s="1544"/>
      <c r="N1659" s="1544"/>
      <c r="O1659" s="1544"/>
    </row>
    <row r="1660" spans="8:15">
      <c r="H1660" s="1543" t="s">
        <v>4813</v>
      </c>
      <c r="I1660" s="1544" t="s">
        <v>508</v>
      </c>
      <c r="J1660" s="1544" t="s">
        <v>4814</v>
      </c>
      <c r="K1660" s="1544"/>
      <c r="L1660" s="1544"/>
      <c r="M1660" s="1544"/>
      <c r="N1660" s="1544"/>
      <c r="O1660" s="1544"/>
    </row>
    <row r="1661" spans="8:15">
      <c r="H1661" s="1543" t="s">
        <v>4815</v>
      </c>
      <c r="I1661" s="1544" t="s">
        <v>508</v>
      </c>
      <c r="J1661" s="1544" t="s">
        <v>4816</v>
      </c>
      <c r="K1661" s="1544"/>
      <c r="L1661" s="1544"/>
      <c r="M1661" s="1544"/>
      <c r="N1661" s="1544"/>
      <c r="O1661" s="1544"/>
    </row>
    <row r="1662" spans="8:15">
      <c r="H1662" s="1543" t="s">
        <v>4817</v>
      </c>
      <c r="I1662" s="1544" t="s">
        <v>508</v>
      </c>
      <c r="J1662" s="1544" t="s">
        <v>4818</v>
      </c>
      <c r="K1662" s="1544"/>
      <c r="L1662" s="1544"/>
      <c r="M1662" s="1544"/>
      <c r="N1662" s="1544"/>
      <c r="O1662" s="1544"/>
    </row>
    <row r="1663" spans="8:15">
      <c r="H1663" s="1543" t="s">
        <v>4819</v>
      </c>
      <c r="I1663" s="1544" t="s">
        <v>508</v>
      </c>
      <c r="J1663" s="1544" t="s">
        <v>4820</v>
      </c>
      <c r="K1663" s="1544"/>
      <c r="L1663" s="1544"/>
      <c r="M1663" s="1544"/>
      <c r="N1663" s="1544"/>
      <c r="O1663" s="1544"/>
    </row>
    <row r="1664" spans="8:15">
      <c r="H1664" s="1543" t="s">
        <v>4821</v>
      </c>
      <c r="I1664" s="1544" t="s">
        <v>508</v>
      </c>
      <c r="J1664" s="1544" t="s">
        <v>4822</v>
      </c>
      <c r="K1664" s="1544"/>
      <c r="L1664" s="1544"/>
      <c r="M1664" s="1544"/>
      <c r="N1664" s="1544"/>
      <c r="O1664" s="1544"/>
    </row>
    <row r="1665" spans="8:15">
      <c r="H1665" s="1543" t="s">
        <v>4823</v>
      </c>
      <c r="I1665" s="1544" t="s">
        <v>508</v>
      </c>
      <c r="J1665" s="1544" t="s">
        <v>4824</v>
      </c>
      <c r="K1665" s="1544"/>
      <c r="L1665" s="1544"/>
      <c r="M1665" s="1544"/>
      <c r="N1665" s="1544"/>
      <c r="O1665" s="1544"/>
    </row>
    <row r="1666" spans="8:15">
      <c r="H1666" s="1543" t="s">
        <v>4825</v>
      </c>
      <c r="I1666" s="1544" t="s">
        <v>508</v>
      </c>
      <c r="J1666" s="1544" t="s">
        <v>4826</v>
      </c>
      <c r="K1666" s="1544"/>
      <c r="L1666" s="1544"/>
      <c r="M1666" s="1544"/>
      <c r="N1666" s="1544"/>
      <c r="O1666" s="1544"/>
    </row>
    <row r="1667" spans="8:15">
      <c r="H1667" s="1543" t="s">
        <v>4827</v>
      </c>
      <c r="I1667" s="1544" t="s">
        <v>508</v>
      </c>
      <c r="J1667" s="1544" t="s">
        <v>4828</v>
      </c>
      <c r="K1667" s="1544"/>
      <c r="L1667" s="1544"/>
      <c r="M1667" s="1544"/>
      <c r="N1667" s="1544"/>
      <c r="O1667" s="1544"/>
    </row>
    <row r="1668" spans="8:15">
      <c r="H1668" s="1543" t="s">
        <v>4829</v>
      </c>
      <c r="I1668" s="1544" t="s">
        <v>508</v>
      </c>
      <c r="J1668" s="1544" t="s">
        <v>4830</v>
      </c>
      <c r="K1668" s="1544"/>
      <c r="L1668" s="1544"/>
      <c r="M1668" s="1544"/>
      <c r="N1668" s="1544"/>
      <c r="O1668" s="1544"/>
    </row>
    <row r="1669" spans="8:15">
      <c r="H1669" s="1543" t="s">
        <v>4831</v>
      </c>
      <c r="I1669" s="1544" t="s">
        <v>508</v>
      </c>
      <c r="J1669" s="1544" t="s">
        <v>4832</v>
      </c>
      <c r="K1669" s="1544"/>
      <c r="L1669" s="1544"/>
      <c r="M1669" s="1544"/>
      <c r="N1669" s="1544"/>
      <c r="O1669" s="1544"/>
    </row>
    <row r="1670" spans="8:15">
      <c r="H1670" s="1543" t="s">
        <v>4833</v>
      </c>
      <c r="I1670" s="1544" t="s">
        <v>508</v>
      </c>
      <c r="J1670" s="1544" t="s">
        <v>4834</v>
      </c>
      <c r="K1670" s="1544"/>
      <c r="L1670" s="1544"/>
      <c r="M1670" s="1544"/>
      <c r="N1670" s="1544"/>
      <c r="O1670" s="1544"/>
    </row>
    <row r="1671" spans="8:15">
      <c r="H1671" s="1543" t="s">
        <v>4835</v>
      </c>
      <c r="I1671" s="1544" t="s">
        <v>508</v>
      </c>
      <c r="J1671" s="1544" t="s">
        <v>4836</v>
      </c>
      <c r="K1671" s="1544"/>
      <c r="L1671" s="1544"/>
      <c r="M1671" s="1544"/>
      <c r="N1671" s="1544"/>
      <c r="O1671" s="1544"/>
    </row>
    <row r="1672" spans="8:15">
      <c r="H1672" s="1543" t="s">
        <v>4837</v>
      </c>
      <c r="I1672" s="1544" t="s">
        <v>508</v>
      </c>
      <c r="J1672" s="1544" t="s">
        <v>4838</v>
      </c>
      <c r="K1672" s="1544"/>
      <c r="L1672" s="1544"/>
      <c r="M1672" s="1544"/>
      <c r="N1672" s="1544"/>
      <c r="O1672" s="1544"/>
    </row>
    <row r="1673" spans="8:15">
      <c r="H1673" s="1543" t="s">
        <v>4839</v>
      </c>
      <c r="I1673" s="1544" t="s">
        <v>508</v>
      </c>
      <c r="J1673" s="1544" t="s">
        <v>4840</v>
      </c>
      <c r="K1673" s="1544"/>
      <c r="L1673" s="1544"/>
      <c r="M1673" s="1544"/>
      <c r="N1673" s="1544"/>
      <c r="O1673" s="1544"/>
    </row>
    <row r="1674" spans="8:15">
      <c r="H1674" s="1543" t="s">
        <v>4841</v>
      </c>
      <c r="I1674" s="1544" t="s">
        <v>508</v>
      </c>
      <c r="J1674" s="1544" t="s">
        <v>4842</v>
      </c>
      <c r="K1674" s="1544"/>
      <c r="L1674" s="1544"/>
      <c r="M1674" s="1544"/>
      <c r="N1674" s="1544"/>
      <c r="O1674" s="1544"/>
    </row>
    <row r="1675" spans="8:15">
      <c r="H1675" s="1543" t="s">
        <v>4843</v>
      </c>
      <c r="I1675" s="1544" t="s">
        <v>508</v>
      </c>
      <c r="J1675" s="1544" t="s">
        <v>4844</v>
      </c>
      <c r="K1675" s="1544"/>
      <c r="L1675" s="1544"/>
      <c r="M1675" s="1544"/>
      <c r="N1675" s="1544"/>
      <c r="O1675" s="1544"/>
    </row>
    <row r="1676" spans="8:15">
      <c r="H1676" s="1543" t="s">
        <v>4845</v>
      </c>
      <c r="I1676" s="1544" t="s">
        <v>508</v>
      </c>
      <c r="J1676" s="1544" t="s">
        <v>4340</v>
      </c>
      <c r="K1676" s="1544"/>
      <c r="L1676" s="1544"/>
      <c r="M1676" s="1544"/>
      <c r="N1676" s="1544"/>
      <c r="O1676" s="1544"/>
    </row>
    <row r="1677" spans="8:15">
      <c r="H1677" s="1543" t="s">
        <v>4846</v>
      </c>
      <c r="I1677" s="1544" t="s">
        <v>508</v>
      </c>
      <c r="J1677" s="1544" t="s">
        <v>4847</v>
      </c>
      <c r="K1677" s="1544"/>
      <c r="L1677" s="1544"/>
      <c r="M1677" s="1544"/>
      <c r="N1677" s="1544"/>
      <c r="O1677" s="1544"/>
    </row>
    <row r="1678" spans="8:15">
      <c r="H1678" s="1543" t="s">
        <v>4848</v>
      </c>
      <c r="I1678" s="1544" t="s">
        <v>508</v>
      </c>
      <c r="J1678" s="1544" t="s">
        <v>4849</v>
      </c>
      <c r="K1678" s="1544"/>
      <c r="L1678" s="1544"/>
      <c r="M1678" s="1544"/>
      <c r="N1678" s="1544"/>
      <c r="O1678" s="1544"/>
    </row>
    <row r="1679" spans="8:15">
      <c r="H1679" s="1543" t="s">
        <v>4850</v>
      </c>
      <c r="I1679" s="1544" t="s">
        <v>508</v>
      </c>
      <c r="J1679" s="1544" t="s">
        <v>4851</v>
      </c>
      <c r="K1679" s="1544"/>
      <c r="L1679" s="1544"/>
      <c r="M1679" s="1544"/>
      <c r="N1679" s="1544"/>
      <c r="O1679" s="1544"/>
    </row>
    <row r="1680" spans="8:15">
      <c r="H1680" s="1543" t="s">
        <v>4852</v>
      </c>
      <c r="I1680" s="1544" t="s">
        <v>508</v>
      </c>
      <c r="J1680" s="1544" t="s">
        <v>2574</v>
      </c>
      <c r="K1680" s="1544"/>
      <c r="L1680" s="1544"/>
      <c r="M1680" s="1544"/>
      <c r="N1680" s="1544"/>
      <c r="O1680" s="1544"/>
    </row>
    <row r="1681" spans="8:15">
      <c r="H1681" s="1543" t="s">
        <v>4853</v>
      </c>
      <c r="I1681" s="1544" t="s">
        <v>508</v>
      </c>
      <c r="J1681" s="1544" t="s">
        <v>4854</v>
      </c>
      <c r="K1681" s="1544"/>
      <c r="L1681" s="1544"/>
      <c r="M1681" s="1544"/>
      <c r="N1681" s="1544"/>
      <c r="O1681" s="1544"/>
    </row>
    <row r="1682" spans="8:15">
      <c r="H1682" s="1543" t="s">
        <v>4855</v>
      </c>
      <c r="I1682" s="1544" t="s">
        <v>508</v>
      </c>
      <c r="J1682" s="1544" t="s">
        <v>4856</v>
      </c>
      <c r="K1682" s="1544"/>
      <c r="L1682" s="1544"/>
      <c r="M1682" s="1544"/>
      <c r="N1682" s="1544"/>
      <c r="O1682" s="1544"/>
    </row>
    <row r="1683" spans="8:15">
      <c r="H1683" s="1543" t="s">
        <v>4857</v>
      </c>
      <c r="I1683" s="1544" t="s">
        <v>508</v>
      </c>
      <c r="J1683" s="1544" t="s">
        <v>4858</v>
      </c>
      <c r="K1683" s="1544"/>
      <c r="L1683" s="1544"/>
      <c r="M1683" s="1544"/>
      <c r="N1683" s="1544"/>
      <c r="O1683" s="1544"/>
    </row>
    <row r="1684" spans="8:15">
      <c r="H1684" s="1543" t="s">
        <v>4859</v>
      </c>
      <c r="I1684" s="1544" t="s">
        <v>508</v>
      </c>
      <c r="J1684" s="1544" t="s">
        <v>4860</v>
      </c>
      <c r="K1684" s="1544"/>
      <c r="L1684" s="1544"/>
      <c r="M1684" s="1544"/>
      <c r="N1684" s="1544"/>
      <c r="O1684" s="1544"/>
    </row>
    <row r="1685" spans="8:15">
      <c r="H1685" s="1543" t="s">
        <v>4861</v>
      </c>
      <c r="I1685" s="1544" t="s">
        <v>508</v>
      </c>
      <c r="J1685" s="1544" t="s">
        <v>4862</v>
      </c>
      <c r="K1685" s="1544"/>
      <c r="L1685" s="1544"/>
      <c r="M1685" s="1544"/>
      <c r="N1685" s="1544"/>
      <c r="O1685" s="1544"/>
    </row>
    <row r="1686" spans="8:15">
      <c r="H1686" s="1543" t="s">
        <v>4863</v>
      </c>
      <c r="I1686" s="1544" t="s">
        <v>508</v>
      </c>
      <c r="J1686" s="1544" t="s">
        <v>4864</v>
      </c>
      <c r="K1686" s="1544"/>
      <c r="L1686" s="1544"/>
      <c r="M1686" s="1544"/>
      <c r="N1686" s="1544"/>
      <c r="O1686" s="1544"/>
    </row>
    <row r="1687" spans="8:15">
      <c r="H1687" s="1543" t="s">
        <v>4865</v>
      </c>
      <c r="I1687" s="1544" t="s">
        <v>508</v>
      </c>
      <c r="J1687" s="1544" t="s">
        <v>4866</v>
      </c>
      <c r="K1687" s="1544"/>
      <c r="L1687" s="1544"/>
      <c r="M1687" s="1544"/>
      <c r="N1687" s="1544"/>
      <c r="O1687" s="1544"/>
    </row>
    <row r="1688" spans="8:15">
      <c r="H1688" s="1543" t="s">
        <v>4867</v>
      </c>
      <c r="I1688" s="1544" t="s">
        <v>508</v>
      </c>
      <c r="J1688" s="1544" t="s">
        <v>4868</v>
      </c>
      <c r="K1688" s="1544"/>
      <c r="L1688" s="1544"/>
      <c r="M1688" s="1544"/>
      <c r="N1688" s="1544"/>
      <c r="O1688" s="1544"/>
    </row>
    <row r="1689" spans="8:15">
      <c r="H1689" s="1543" t="s">
        <v>4869</v>
      </c>
      <c r="I1689" s="1544" t="s">
        <v>2109</v>
      </c>
      <c r="J1689" s="1544"/>
      <c r="K1689" s="1544">
        <f>ROW()</f>
        <v>1689</v>
      </c>
      <c r="L1689" s="1544">
        <f>K1689+COUNTIF($I$122:$I$1909,I1689)-1</f>
        <v>1709</v>
      </c>
      <c r="M1689" s="1544"/>
      <c r="N1689" s="1544"/>
      <c r="O1689" s="1544"/>
    </row>
    <row r="1690" spans="8:15">
      <c r="H1690" s="1543" t="s">
        <v>1433</v>
      </c>
      <c r="I1690" s="1544" t="s">
        <v>2109</v>
      </c>
      <c r="J1690" s="1544" t="s">
        <v>1432</v>
      </c>
      <c r="K1690" s="1544"/>
      <c r="L1690" s="1544"/>
      <c r="M1690" s="1544"/>
      <c r="N1690" s="1544"/>
      <c r="O1690" s="1544"/>
    </row>
    <row r="1691" spans="8:15">
      <c r="H1691" s="1543" t="s">
        <v>4870</v>
      </c>
      <c r="I1691" s="1544" t="s">
        <v>2109</v>
      </c>
      <c r="J1691" s="1544" t="s">
        <v>4871</v>
      </c>
      <c r="K1691" s="1544"/>
      <c r="L1691" s="1544"/>
      <c r="M1691" s="1544"/>
      <c r="N1691" s="1544"/>
      <c r="O1691" s="1544"/>
    </row>
    <row r="1692" spans="8:15">
      <c r="H1692" s="1543" t="s">
        <v>4872</v>
      </c>
      <c r="I1692" s="1544" t="s">
        <v>2109</v>
      </c>
      <c r="J1692" s="1544" t="s">
        <v>4873</v>
      </c>
      <c r="K1692" s="1544"/>
      <c r="L1692" s="1544"/>
      <c r="M1692" s="1544"/>
      <c r="N1692" s="1544"/>
      <c r="O1692" s="1544"/>
    </row>
    <row r="1693" spans="8:15">
      <c r="H1693" s="1543" t="s">
        <v>4874</v>
      </c>
      <c r="I1693" s="1544" t="s">
        <v>2109</v>
      </c>
      <c r="J1693" s="1544" t="s">
        <v>4875</v>
      </c>
      <c r="K1693" s="1544"/>
      <c r="L1693" s="1544"/>
      <c r="M1693" s="1544"/>
      <c r="N1693" s="1544"/>
      <c r="O1693" s="1544"/>
    </row>
    <row r="1694" spans="8:15">
      <c r="H1694" s="1543" t="s">
        <v>4876</v>
      </c>
      <c r="I1694" s="1544" t="s">
        <v>2109</v>
      </c>
      <c r="J1694" s="1544" t="s">
        <v>4877</v>
      </c>
      <c r="K1694" s="1544"/>
      <c r="L1694" s="1544"/>
      <c r="M1694" s="1544"/>
      <c r="N1694" s="1544"/>
      <c r="O1694" s="1544"/>
    </row>
    <row r="1695" spans="8:15">
      <c r="H1695" s="1543" t="s">
        <v>4878</v>
      </c>
      <c r="I1695" s="1544" t="s">
        <v>2109</v>
      </c>
      <c r="J1695" s="1544" t="s">
        <v>4879</v>
      </c>
      <c r="K1695" s="1544"/>
      <c r="L1695" s="1544"/>
      <c r="M1695" s="1544"/>
      <c r="N1695" s="1544"/>
      <c r="O1695" s="1544"/>
    </row>
    <row r="1696" spans="8:15">
      <c r="H1696" s="1543" t="s">
        <v>4880</v>
      </c>
      <c r="I1696" s="1544" t="s">
        <v>2109</v>
      </c>
      <c r="J1696" s="1544" t="s">
        <v>4881</v>
      </c>
      <c r="K1696" s="1544"/>
      <c r="L1696" s="1544"/>
      <c r="M1696" s="1544"/>
      <c r="N1696" s="1544"/>
      <c r="O1696" s="1544"/>
    </row>
    <row r="1697" spans="8:15">
      <c r="H1697" s="1543" t="s">
        <v>4882</v>
      </c>
      <c r="I1697" s="1544" t="s">
        <v>2109</v>
      </c>
      <c r="J1697" s="1544" t="s">
        <v>4883</v>
      </c>
      <c r="K1697" s="1544"/>
      <c r="L1697" s="1544"/>
      <c r="M1697" s="1544"/>
      <c r="N1697" s="1544"/>
      <c r="O1697" s="1544"/>
    </row>
    <row r="1698" spans="8:15">
      <c r="H1698" s="1543" t="s">
        <v>4884</v>
      </c>
      <c r="I1698" s="1544" t="s">
        <v>2109</v>
      </c>
      <c r="J1698" s="1544" t="s">
        <v>4885</v>
      </c>
      <c r="K1698" s="1544"/>
      <c r="L1698" s="1544"/>
      <c r="M1698" s="1544"/>
      <c r="N1698" s="1544"/>
      <c r="O1698" s="1544"/>
    </row>
    <row r="1699" spans="8:15">
      <c r="H1699" s="1543" t="s">
        <v>4886</v>
      </c>
      <c r="I1699" s="1544" t="s">
        <v>2109</v>
      </c>
      <c r="J1699" s="1544" t="s">
        <v>4887</v>
      </c>
      <c r="K1699" s="1544"/>
      <c r="L1699" s="1544"/>
      <c r="M1699" s="1544"/>
      <c r="N1699" s="1544"/>
      <c r="O1699" s="1544"/>
    </row>
    <row r="1700" spans="8:15">
      <c r="H1700" s="1543" t="s">
        <v>4888</v>
      </c>
      <c r="I1700" s="1544" t="s">
        <v>2109</v>
      </c>
      <c r="J1700" s="1544" t="s">
        <v>4889</v>
      </c>
      <c r="K1700" s="1544"/>
      <c r="L1700" s="1544"/>
      <c r="M1700" s="1544"/>
      <c r="N1700" s="1544"/>
      <c r="O1700" s="1544"/>
    </row>
    <row r="1701" spans="8:15">
      <c r="H1701" s="1543" t="s">
        <v>4890</v>
      </c>
      <c r="I1701" s="1544" t="s">
        <v>2109</v>
      </c>
      <c r="J1701" s="1544" t="s">
        <v>4891</v>
      </c>
      <c r="K1701" s="1544"/>
      <c r="L1701" s="1544"/>
      <c r="M1701" s="1544"/>
      <c r="N1701" s="1544"/>
      <c r="O1701" s="1544"/>
    </row>
    <row r="1702" spans="8:15">
      <c r="H1702" s="1543" t="s">
        <v>4892</v>
      </c>
      <c r="I1702" s="1544" t="s">
        <v>2109</v>
      </c>
      <c r="J1702" s="1544" t="s">
        <v>4893</v>
      </c>
      <c r="K1702" s="1544"/>
      <c r="L1702" s="1544"/>
      <c r="M1702" s="1544"/>
      <c r="N1702" s="1544"/>
      <c r="O1702" s="1544"/>
    </row>
    <row r="1703" spans="8:15">
      <c r="H1703" s="1543" t="s">
        <v>4894</v>
      </c>
      <c r="I1703" s="1544" t="s">
        <v>2109</v>
      </c>
      <c r="J1703" s="1544" t="s">
        <v>4895</v>
      </c>
      <c r="K1703" s="1544"/>
      <c r="L1703" s="1544"/>
      <c r="M1703" s="1544"/>
      <c r="N1703" s="1544"/>
      <c r="O1703" s="1544"/>
    </row>
    <row r="1704" spans="8:15">
      <c r="H1704" s="1543" t="s">
        <v>4896</v>
      </c>
      <c r="I1704" s="1544" t="s">
        <v>2109</v>
      </c>
      <c r="J1704" s="1544" t="s">
        <v>4897</v>
      </c>
      <c r="K1704" s="1544"/>
      <c r="L1704" s="1544"/>
      <c r="M1704" s="1544"/>
      <c r="N1704" s="1544"/>
      <c r="O1704" s="1544"/>
    </row>
    <row r="1705" spans="8:15">
      <c r="H1705" s="1543" t="s">
        <v>4898</v>
      </c>
      <c r="I1705" s="1544" t="s">
        <v>2109</v>
      </c>
      <c r="J1705" s="1544" t="s">
        <v>4899</v>
      </c>
      <c r="K1705" s="1544"/>
      <c r="L1705" s="1544"/>
      <c r="M1705" s="1544"/>
      <c r="N1705" s="1544"/>
      <c r="O1705" s="1544"/>
    </row>
    <row r="1706" spans="8:15">
      <c r="H1706" s="1543" t="s">
        <v>4900</v>
      </c>
      <c r="I1706" s="1544" t="s">
        <v>2109</v>
      </c>
      <c r="J1706" s="1544" t="s">
        <v>4901</v>
      </c>
      <c r="K1706" s="1544"/>
      <c r="L1706" s="1544"/>
      <c r="M1706" s="1544"/>
      <c r="N1706" s="1544"/>
      <c r="O1706" s="1544"/>
    </row>
    <row r="1707" spans="8:15">
      <c r="H1707" s="1543" t="s">
        <v>4902</v>
      </c>
      <c r="I1707" s="1544" t="s">
        <v>2109</v>
      </c>
      <c r="J1707" s="1544" t="s">
        <v>4903</v>
      </c>
      <c r="K1707" s="1544"/>
      <c r="L1707" s="1544"/>
      <c r="M1707" s="1544"/>
      <c r="N1707" s="1544"/>
      <c r="O1707" s="1544"/>
    </row>
    <row r="1708" spans="8:15">
      <c r="H1708" s="1543" t="s">
        <v>4904</v>
      </c>
      <c r="I1708" s="1544" t="s">
        <v>2109</v>
      </c>
      <c r="J1708" s="1544" t="s">
        <v>4905</v>
      </c>
      <c r="K1708" s="1544"/>
      <c r="L1708" s="1544"/>
      <c r="M1708" s="1544"/>
      <c r="N1708" s="1544"/>
      <c r="O1708" s="1544"/>
    </row>
    <row r="1709" spans="8:15">
      <c r="H1709" s="1543" t="s">
        <v>4906</v>
      </c>
      <c r="I1709" s="1544" t="s">
        <v>2109</v>
      </c>
      <c r="J1709" s="1544" t="s">
        <v>4907</v>
      </c>
      <c r="K1709" s="1544"/>
      <c r="L1709" s="1544"/>
      <c r="M1709" s="1544"/>
      <c r="N1709" s="1544"/>
      <c r="O1709" s="1544"/>
    </row>
    <row r="1710" spans="8:15">
      <c r="H1710" s="1543" t="s">
        <v>4908</v>
      </c>
      <c r="I1710" s="1544" t="s">
        <v>509</v>
      </c>
      <c r="J1710" s="1544"/>
      <c r="K1710" s="1544">
        <f>ROW()</f>
        <v>1710</v>
      </c>
      <c r="L1710" s="1544">
        <f>K1710+COUNTIF($I$122:$I$1909,I1710)-1</f>
        <v>1731</v>
      </c>
      <c r="M1710" s="1544"/>
      <c r="N1710" s="1544"/>
      <c r="O1710" s="1544"/>
    </row>
    <row r="1711" spans="8:15">
      <c r="H1711" s="1543" t="s">
        <v>1349</v>
      </c>
      <c r="I1711" s="1544" t="s">
        <v>509</v>
      </c>
      <c r="J1711" s="1544" t="s">
        <v>1348</v>
      </c>
      <c r="K1711" s="1544"/>
      <c r="L1711" s="1544"/>
      <c r="M1711" s="1544"/>
      <c r="N1711" s="1544"/>
      <c r="O1711" s="1544"/>
    </row>
    <row r="1712" spans="8:15">
      <c r="H1712" s="1543" t="s">
        <v>1435</v>
      </c>
      <c r="I1712" s="1544" t="s">
        <v>509</v>
      </c>
      <c r="J1712" s="1544" t="s">
        <v>1434</v>
      </c>
      <c r="K1712" s="1544"/>
      <c r="L1712" s="1544"/>
      <c r="M1712" s="1544"/>
      <c r="N1712" s="1544"/>
      <c r="O1712" s="1544"/>
    </row>
    <row r="1713" spans="8:15">
      <c r="H1713" s="1543" t="s">
        <v>4909</v>
      </c>
      <c r="I1713" s="1544" t="s">
        <v>509</v>
      </c>
      <c r="J1713" s="1544" t="s">
        <v>4910</v>
      </c>
      <c r="K1713" s="1544"/>
      <c r="L1713" s="1544"/>
      <c r="M1713" s="1544"/>
      <c r="N1713" s="1544"/>
      <c r="O1713" s="1544"/>
    </row>
    <row r="1714" spans="8:15">
      <c r="H1714" s="1543" t="s">
        <v>4911</v>
      </c>
      <c r="I1714" s="1544" t="s">
        <v>509</v>
      </c>
      <c r="J1714" s="1544" t="s">
        <v>4912</v>
      </c>
      <c r="K1714" s="1544"/>
      <c r="L1714" s="1544"/>
      <c r="M1714" s="1544"/>
      <c r="N1714" s="1544"/>
      <c r="O1714" s="1544"/>
    </row>
    <row r="1715" spans="8:15">
      <c r="H1715" s="1543" t="s">
        <v>4913</v>
      </c>
      <c r="I1715" s="1544" t="s">
        <v>509</v>
      </c>
      <c r="J1715" s="1544" t="s">
        <v>4914</v>
      </c>
      <c r="K1715" s="1544"/>
      <c r="L1715" s="1544"/>
      <c r="M1715" s="1544"/>
      <c r="N1715" s="1544"/>
      <c r="O1715" s="1544"/>
    </row>
    <row r="1716" spans="8:15">
      <c r="H1716" s="1543" t="s">
        <v>4915</v>
      </c>
      <c r="I1716" s="1544" t="s">
        <v>509</v>
      </c>
      <c r="J1716" s="1544" t="s">
        <v>4916</v>
      </c>
      <c r="K1716" s="1544"/>
      <c r="L1716" s="1544"/>
      <c r="M1716" s="1544"/>
      <c r="N1716" s="1544"/>
      <c r="O1716" s="1544"/>
    </row>
    <row r="1717" spans="8:15">
      <c r="H1717" s="1543" t="s">
        <v>4917</v>
      </c>
      <c r="I1717" s="1544" t="s">
        <v>509</v>
      </c>
      <c r="J1717" s="1544" t="s">
        <v>4918</v>
      </c>
      <c r="K1717" s="1544"/>
      <c r="L1717" s="1544"/>
      <c r="M1717" s="1544"/>
      <c r="N1717" s="1544"/>
      <c r="O1717" s="1544"/>
    </row>
    <row r="1718" spans="8:15">
      <c r="H1718" s="1543" t="s">
        <v>4919</v>
      </c>
      <c r="I1718" s="1544" t="s">
        <v>509</v>
      </c>
      <c r="J1718" s="1544" t="s">
        <v>4920</v>
      </c>
      <c r="K1718" s="1544"/>
      <c r="L1718" s="1544"/>
      <c r="M1718" s="1544"/>
      <c r="N1718" s="1544"/>
      <c r="O1718" s="1544"/>
    </row>
    <row r="1719" spans="8:15">
      <c r="H1719" s="1543" t="s">
        <v>4921</v>
      </c>
      <c r="I1719" s="1544" t="s">
        <v>509</v>
      </c>
      <c r="J1719" s="1544" t="s">
        <v>4922</v>
      </c>
      <c r="K1719" s="1544"/>
      <c r="L1719" s="1544"/>
      <c r="M1719" s="1544"/>
      <c r="N1719" s="1544"/>
      <c r="O1719" s="1544"/>
    </row>
    <row r="1720" spans="8:15">
      <c r="H1720" s="1543" t="s">
        <v>4923</v>
      </c>
      <c r="I1720" s="1544" t="s">
        <v>509</v>
      </c>
      <c r="J1720" s="1544" t="s">
        <v>4924</v>
      </c>
      <c r="K1720" s="1544"/>
      <c r="L1720" s="1544"/>
      <c r="M1720" s="1544"/>
      <c r="N1720" s="1544"/>
      <c r="O1720" s="1544"/>
    </row>
    <row r="1721" spans="8:15">
      <c r="H1721" s="1543" t="s">
        <v>4925</v>
      </c>
      <c r="I1721" s="1544" t="s">
        <v>509</v>
      </c>
      <c r="J1721" s="1544" t="s">
        <v>4926</v>
      </c>
      <c r="K1721" s="1544"/>
      <c r="L1721" s="1544"/>
      <c r="M1721" s="1544"/>
      <c r="N1721" s="1544"/>
      <c r="O1721" s="1544"/>
    </row>
    <row r="1722" spans="8:15">
      <c r="H1722" s="1543" t="s">
        <v>4927</v>
      </c>
      <c r="I1722" s="1544" t="s">
        <v>509</v>
      </c>
      <c r="J1722" s="1544" t="s">
        <v>4928</v>
      </c>
      <c r="K1722" s="1544"/>
      <c r="L1722" s="1544"/>
      <c r="M1722" s="1544"/>
      <c r="N1722" s="1544"/>
      <c r="O1722" s="1544"/>
    </row>
    <row r="1723" spans="8:15">
      <c r="H1723" s="1543" t="s">
        <v>4929</v>
      </c>
      <c r="I1723" s="1544" t="s">
        <v>509</v>
      </c>
      <c r="J1723" s="1544" t="s">
        <v>4930</v>
      </c>
      <c r="K1723" s="1544"/>
      <c r="L1723" s="1544"/>
      <c r="M1723" s="1544"/>
      <c r="N1723" s="1544"/>
      <c r="O1723" s="1544"/>
    </row>
    <row r="1724" spans="8:15">
      <c r="H1724" s="1543" t="s">
        <v>4931</v>
      </c>
      <c r="I1724" s="1544" t="s">
        <v>509</v>
      </c>
      <c r="J1724" s="1544" t="s">
        <v>4932</v>
      </c>
      <c r="K1724" s="1544"/>
      <c r="L1724" s="1544"/>
      <c r="M1724" s="1544"/>
      <c r="N1724" s="1544"/>
      <c r="O1724" s="1544"/>
    </row>
    <row r="1725" spans="8:15">
      <c r="H1725" s="1543" t="s">
        <v>4933</v>
      </c>
      <c r="I1725" s="1544" t="s">
        <v>509</v>
      </c>
      <c r="J1725" s="1544" t="s">
        <v>4934</v>
      </c>
      <c r="K1725" s="1544"/>
      <c r="L1725" s="1544"/>
      <c r="M1725" s="1544"/>
      <c r="N1725" s="1544"/>
      <c r="O1725" s="1544"/>
    </row>
    <row r="1726" spans="8:15">
      <c r="H1726" s="1543" t="s">
        <v>4935</v>
      </c>
      <c r="I1726" s="1544" t="s">
        <v>509</v>
      </c>
      <c r="J1726" s="1544" t="s">
        <v>4936</v>
      </c>
      <c r="K1726" s="1544"/>
      <c r="L1726" s="1544"/>
      <c r="M1726" s="1544"/>
      <c r="N1726" s="1544"/>
      <c r="O1726" s="1544"/>
    </row>
    <row r="1727" spans="8:15">
      <c r="H1727" s="1543" t="s">
        <v>4937</v>
      </c>
      <c r="I1727" s="1544" t="s">
        <v>509</v>
      </c>
      <c r="J1727" s="1544" t="s">
        <v>4938</v>
      </c>
      <c r="K1727" s="1544"/>
      <c r="L1727" s="1544"/>
      <c r="M1727" s="1544"/>
      <c r="N1727" s="1544"/>
      <c r="O1727" s="1544"/>
    </row>
    <row r="1728" spans="8:15">
      <c r="H1728" s="1543" t="s">
        <v>4939</v>
      </c>
      <c r="I1728" s="1544" t="s">
        <v>509</v>
      </c>
      <c r="J1728" s="1544" t="s">
        <v>4940</v>
      </c>
      <c r="K1728" s="1544"/>
      <c r="L1728" s="1544"/>
      <c r="M1728" s="1544"/>
      <c r="N1728" s="1544"/>
      <c r="O1728" s="1544"/>
    </row>
    <row r="1729" spans="8:15">
      <c r="H1729" s="1543" t="s">
        <v>4941</v>
      </c>
      <c r="I1729" s="1544" t="s">
        <v>509</v>
      </c>
      <c r="J1729" s="1544" t="s">
        <v>4942</v>
      </c>
      <c r="K1729" s="1544"/>
      <c r="L1729" s="1544"/>
      <c r="M1729" s="1544"/>
      <c r="N1729" s="1544"/>
      <c r="O1729" s="1544"/>
    </row>
    <row r="1730" spans="8:15">
      <c r="H1730" s="1543" t="s">
        <v>4943</v>
      </c>
      <c r="I1730" s="1544" t="s">
        <v>509</v>
      </c>
      <c r="J1730" s="1544" t="s">
        <v>4944</v>
      </c>
      <c r="K1730" s="1544"/>
      <c r="L1730" s="1544"/>
      <c r="M1730" s="1544"/>
      <c r="N1730" s="1544"/>
      <c r="O1730" s="1544"/>
    </row>
    <row r="1731" spans="8:15">
      <c r="H1731" s="1543" t="s">
        <v>4945</v>
      </c>
      <c r="I1731" s="1544" t="s">
        <v>509</v>
      </c>
      <c r="J1731" s="1544" t="s">
        <v>4946</v>
      </c>
      <c r="K1731" s="1544"/>
      <c r="L1731" s="1544"/>
      <c r="M1731" s="1544"/>
      <c r="N1731" s="1544"/>
      <c r="O1731" s="1544"/>
    </row>
    <row r="1732" spans="8:15">
      <c r="H1732" s="1543" t="s">
        <v>4947</v>
      </c>
      <c r="I1732" s="1544" t="s">
        <v>510</v>
      </c>
      <c r="J1732" s="1544"/>
      <c r="K1732" s="1544">
        <f>ROW()</f>
        <v>1732</v>
      </c>
      <c r="L1732" s="1544">
        <f>K1732+COUNTIF($I$122:$I$1909,I1732)-1</f>
        <v>1777</v>
      </c>
      <c r="M1732" s="1544"/>
      <c r="N1732" s="1544"/>
      <c r="O1732" s="1544"/>
    </row>
    <row r="1733" spans="8:15">
      <c r="H1733" s="1543" t="s">
        <v>1267</v>
      </c>
      <c r="I1733" s="1544" t="s">
        <v>510</v>
      </c>
      <c r="J1733" s="1544" t="s">
        <v>1266</v>
      </c>
      <c r="K1733" s="1544"/>
      <c r="L1733" s="1544"/>
      <c r="M1733" s="1544"/>
      <c r="N1733" s="1544"/>
      <c r="O1733" s="1544"/>
    </row>
    <row r="1734" spans="8:15">
      <c r="H1734" s="1543" t="s">
        <v>4948</v>
      </c>
      <c r="I1734" s="1544" t="s">
        <v>510</v>
      </c>
      <c r="J1734" s="1544" t="s">
        <v>4949</v>
      </c>
      <c r="K1734" s="1544"/>
      <c r="L1734" s="1544"/>
      <c r="M1734" s="1544"/>
      <c r="N1734" s="1544"/>
      <c r="O1734" s="1544"/>
    </row>
    <row r="1735" spans="8:15">
      <c r="H1735" s="1543" t="s">
        <v>4950</v>
      </c>
      <c r="I1735" s="1544" t="s">
        <v>510</v>
      </c>
      <c r="J1735" s="1544" t="s">
        <v>4951</v>
      </c>
      <c r="K1735" s="1544"/>
      <c r="L1735" s="1544"/>
      <c r="M1735" s="1544"/>
      <c r="N1735" s="1544"/>
      <c r="O1735" s="1544"/>
    </row>
    <row r="1736" spans="8:15">
      <c r="H1736" s="1543" t="s">
        <v>4952</v>
      </c>
      <c r="I1736" s="1544" t="s">
        <v>510</v>
      </c>
      <c r="J1736" s="1544" t="s">
        <v>4953</v>
      </c>
      <c r="K1736" s="1544"/>
      <c r="L1736" s="1544"/>
      <c r="M1736" s="1544"/>
      <c r="N1736" s="1544"/>
      <c r="O1736" s="1544"/>
    </row>
    <row r="1737" spans="8:15">
      <c r="H1737" s="1543" t="s">
        <v>4954</v>
      </c>
      <c r="I1737" s="1544" t="s">
        <v>510</v>
      </c>
      <c r="J1737" s="1544" t="s">
        <v>4955</v>
      </c>
      <c r="K1737" s="1544"/>
      <c r="L1737" s="1544"/>
      <c r="M1737" s="1544"/>
      <c r="N1737" s="1544"/>
      <c r="O1737" s="1544"/>
    </row>
    <row r="1738" spans="8:15">
      <c r="H1738" s="1543" t="s">
        <v>4956</v>
      </c>
      <c r="I1738" s="1544" t="s">
        <v>510</v>
      </c>
      <c r="J1738" s="1544" t="s">
        <v>4957</v>
      </c>
      <c r="K1738" s="1544"/>
      <c r="L1738" s="1544"/>
      <c r="M1738" s="1544"/>
      <c r="N1738" s="1544"/>
      <c r="O1738" s="1544"/>
    </row>
    <row r="1739" spans="8:15">
      <c r="H1739" s="1543" t="s">
        <v>4958</v>
      </c>
      <c r="I1739" s="1544" t="s">
        <v>510</v>
      </c>
      <c r="J1739" s="1544" t="s">
        <v>4959</v>
      </c>
      <c r="K1739" s="1544"/>
      <c r="L1739" s="1544"/>
      <c r="M1739" s="1544"/>
      <c r="N1739" s="1544"/>
      <c r="O1739" s="1544"/>
    </row>
    <row r="1740" spans="8:15">
      <c r="H1740" s="1543" t="s">
        <v>4960</v>
      </c>
      <c r="I1740" s="1544" t="s">
        <v>510</v>
      </c>
      <c r="J1740" s="1544" t="s">
        <v>4961</v>
      </c>
      <c r="K1740" s="1544"/>
      <c r="L1740" s="1544"/>
      <c r="M1740" s="1544"/>
      <c r="N1740" s="1544"/>
      <c r="O1740" s="1544"/>
    </row>
    <row r="1741" spans="8:15">
      <c r="H1741" s="1543" t="s">
        <v>4962</v>
      </c>
      <c r="I1741" s="1544" t="s">
        <v>510</v>
      </c>
      <c r="J1741" s="1544" t="s">
        <v>4963</v>
      </c>
      <c r="K1741" s="1544"/>
      <c r="L1741" s="1544"/>
      <c r="M1741" s="1544"/>
      <c r="N1741" s="1544"/>
      <c r="O1741" s="1544"/>
    </row>
    <row r="1742" spans="8:15">
      <c r="H1742" s="1543" t="s">
        <v>4964</v>
      </c>
      <c r="I1742" s="1544" t="s">
        <v>510</v>
      </c>
      <c r="J1742" s="1544" t="s">
        <v>4965</v>
      </c>
      <c r="K1742" s="1544"/>
      <c r="L1742" s="1544"/>
      <c r="M1742" s="1544"/>
      <c r="N1742" s="1544"/>
      <c r="O1742" s="1544"/>
    </row>
    <row r="1743" spans="8:15">
      <c r="H1743" s="1543" t="s">
        <v>4966</v>
      </c>
      <c r="I1743" s="1544" t="s">
        <v>510</v>
      </c>
      <c r="J1743" s="1544" t="s">
        <v>4967</v>
      </c>
      <c r="K1743" s="1544"/>
      <c r="L1743" s="1544"/>
      <c r="M1743" s="1544"/>
      <c r="N1743" s="1544"/>
      <c r="O1743" s="1544"/>
    </row>
    <row r="1744" spans="8:15">
      <c r="H1744" s="1543" t="s">
        <v>4968</v>
      </c>
      <c r="I1744" s="1544" t="s">
        <v>510</v>
      </c>
      <c r="J1744" s="1544" t="s">
        <v>4969</v>
      </c>
      <c r="K1744" s="1544"/>
      <c r="L1744" s="1544"/>
      <c r="M1744" s="1544"/>
      <c r="N1744" s="1544"/>
      <c r="O1744" s="1544"/>
    </row>
    <row r="1745" spans="8:15">
      <c r="H1745" s="1543" t="s">
        <v>4970</v>
      </c>
      <c r="I1745" s="1544" t="s">
        <v>510</v>
      </c>
      <c r="J1745" s="1544" t="s">
        <v>4971</v>
      </c>
      <c r="K1745" s="1544"/>
      <c r="L1745" s="1544"/>
      <c r="M1745" s="1544"/>
      <c r="N1745" s="1544"/>
      <c r="O1745" s="1544"/>
    </row>
    <row r="1746" spans="8:15">
      <c r="H1746" s="1543" t="s">
        <v>4972</v>
      </c>
      <c r="I1746" s="1544" t="s">
        <v>510</v>
      </c>
      <c r="J1746" s="1544" t="s">
        <v>4973</v>
      </c>
      <c r="K1746" s="1544"/>
      <c r="L1746" s="1544"/>
      <c r="M1746" s="1544"/>
      <c r="N1746" s="1544"/>
      <c r="O1746" s="1544"/>
    </row>
    <row r="1747" spans="8:15">
      <c r="H1747" s="1543" t="s">
        <v>4974</v>
      </c>
      <c r="I1747" s="1544" t="s">
        <v>510</v>
      </c>
      <c r="J1747" s="1544" t="s">
        <v>2600</v>
      </c>
      <c r="K1747" s="1544"/>
      <c r="L1747" s="1544"/>
      <c r="M1747" s="1544"/>
      <c r="N1747" s="1544"/>
      <c r="O1747" s="1544"/>
    </row>
    <row r="1748" spans="8:15">
      <c r="H1748" s="1543" t="s">
        <v>4975</v>
      </c>
      <c r="I1748" s="1544" t="s">
        <v>510</v>
      </c>
      <c r="J1748" s="1544" t="s">
        <v>4976</v>
      </c>
      <c r="K1748" s="1544"/>
      <c r="L1748" s="1544"/>
      <c r="M1748" s="1544"/>
      <c r="N1748" s="1544"/>
      <c r="O1748" s="1544"/>
    </row>
    <row r="1749" spans="8:15">
      <c r="H1749" s="1543" t="s">
        <v>4977</v>
      </c>
      <c r="I1749" s="1544" t="s">
        <v>510</v>
      </c>
      <c r="J1749" s="1544" t="s">
        <v>4978</v>
      </c>
      <c r="K1749" s="1544"/>
      <c r="L1749" s="1544"/>
      <c r="M1749" s="1544"/>
      <c r="N1749" s="1544"/>
      <c r="O1749" s="1544"/>
    </row>
    <row r="1750" spans="8:15">
      <c r="H1750" s="1543" t="s">
        <v>4979</v>
      </c>
      <c r="I1750" s="1544" t="s">
        <v>510</v>
      </c>
      <c r="J1750" s="1544" t="s">
        <v>4980</v>
      </c>
      <c r="K1750" s="1544"/>
      <c r="L1750" s="1544"/>
      <c r="M1750" s="1544"/>
      <c r="N1750" s="1544"/>
      <c r="O1750" s="1544"/>
    </row>
    <row r="1751" spans="8:15">
      <c r="H1751" s="1543" t="s">
        <v>4981</v>
      </c>
      <c r="I1751" s="1544" t="s">
        <v>510</v>
      </c>
      <c r="J1751" s="1544" t="s">
        <v>4982</v>
      </c>
      <c r="K1751" s="1544"/>
      <c r="L1751" s="1544"/>
      <c r="M1751" s="1544"/>
      <c r="N1751" s="1544"/>
      <c r="O1751" s="1544"/>
    </row>
    <row r="1752" spans="8:15">
      <c r="H1752" s="1543" t="s">
        <v>4983</v>
      </c>
      <c r="I1752" s="1544" t="s">
        <v>510</v>
      </c>
      <c r="J1752" s="1544" t="s">
        <v>4984</v>
      </c>
      <c r="K1752" s="1544"/>
      <c r="L1752" s="1544"/>
      <c r="M1752" s="1544"/>
      <c r="N1752" s="1544"/>
      <c r="O1752" s="1544"/>
    </row>
    <row r="1753" spans="8:15">
      <c r="H1753" s="1543" t="s">
        <v>4985</v>
      </c>
      <c r="I1753" s="1544" t="s">
        <v>510</v>
      </c>
      <c r="J1753" s="1544" t="s">
        <v>4986</v>
      </c>
      <c r="K1753" s="1544"/>
      <c r="L1753" s="1544"/>
      <c r="M1753" s="1544"/>
      <c r="N1753" s="1544"/>
      <c r="O1753" s="1544"/>
    </row>
    <row r="1754" spans="8:15">
      <c r="H1754" s="1543" t="s">
        <v>4987</v>
      </c>
      <c r="I1754" s="1544" t="s">
        <v>510</v>
      </c>
      <c r="J1754" s="1544" t="s">
        <v>4988</v>
      </c>
      <c r="K1754" s="1544"/>
      <c r="L1754" s="1544"/>
      <c r="M1754" s="1544"/>
      <c r="N1754" s="1544"/>
      <c r="O1754" s="1544"/>
    </row>
    <row r="1755" spans="8:15">
      <c r="H1755" s="1543" t="s">
        <v>4989</v>
      </c>
      <c r="I1755" s="1544" t="s">
        <v>510</v>
      </c>
      <c r="J1755" s="1544" t="s">
        <v>2712</v>
      </c>
      <c r="K1755" s="1544"/>
      <c r="L1755" s="1544"/>
      <c r="M1755" s="1544"/>
      <c r="N1755" s="1544"/>
      <c r="O1755" s="1544"/>
    </row>
    <row r="1756" spans="8:15">
      <c r="H1756" s="1543" t="s">
        <v>4990</v>
      </c>
      <c r="I1756" s="1544" t="s">
        <v>510</v>
      </c>
      <c r="J1756" s="1544" t="s">
        <v>4991</v>
      </c>
      <c r="K1756" s="1544"/>
      <c r="L1756" s="1544"/>
      <c r="M1756" s="1544"/>
      <c r="N1756" s="1544"/>
      <c r="O1756" s="1544"/>
    </row>
    <row r="1757" spans="8:15">
      <c r="H1757" s="1543" t="s">
        <v>4992</v>
      </c>
      <c r="I1757" s="1544" t="s">
        <v>510</v>
      </c>
      <c r="J1757" s="1544" t="s">
        <v>3651</v>
      </c>
      <c r="K1757" s="1544"/>
      <c r="L1757" s="1544"/>
      <c r="M1757" s="1544"/>
      <c r="N1757" s="1544"/>
      <c r="O1757" s="1544"/>
    </row>
    <row r="1758" spans="8:15">
      <c r="H1758" s="1543" t="s">
        <v>4993</v>
      </c>
      <c r="I1758" s="1544" t="s">
        <v>510</v>
      </c>
      <c r="J1758" s="1544" t="s">
        <v>4994</v>
      </c>
      <c r="K1758" s="1544"/>
      <c r="L1758" s="1544"/>
      <c r="M1758" s="1544"/>
      <c r="N1758" s="1544"/>
      <c r="O1758" s="1544"/>
    </row>
    <row r="1759" spans="8:15">
      <c r="H1759" s="1543" t="s">
        <v>4995</v>
      </c>
      <c r="I1759" s="1544" t="s">
        <v>510</v>
      </c>
      <c r="J1759" s="1544" t="s">
        <v>4996</v>
      </c>
      <c r="K1759" s="1544"/>
      <c r="L1759" s="1544"/>
      <c r="M1759" s="1544"/>
      <c r="N1759" s="1544"/>
      <c r="O1759" s="1544"/>
    </row>
    <row r="1760" spans="8:15">
      <c r="H1760" s="1543" t="s">
        <v>4997</v>
      </c>
      <c r="I1760" s="1544" t="s">
        <v>510</v>
      </c>
      <c r="J1760" s="1544" t="s">
        <v>4998</v>
      </c>
      <c r="K1760" s="1544"/>
      <c r="L1760" s="1544"/>
      <c r="M1760" s="1544"/>
      <c r="N1760" s="1544"/>
      <c r="O1760" s="1544"/>
    </row>
    <row r="1761" spans="8:15">
      <c r="H1761" s="1543" t="s">
        <v>4999</v>
      </c>
      <c r="I1761" s="1544" t="s">
        <v>510</v>
      </c>
      <c r="J1761" s="1544" t="s">
        <v>5000</v>
      </c>
      <c r="K1761" s="1544"/>
      <c r="L1761" s="1544"/>
      <c r="M1761" s="1544"/>
      <c r="N1761" s="1544"/>
      <c r="O1761" s="1544"/>
    </row>
    <row r="1762" spans="8:15">
      <c r="H1762" s="1543" t="s">
        <v>5001</v>
      </c>
      <c r="I1762" s="1544" t="s">
        <v>510</v>
      </c>
      <c r="J1762" s="1544" t="s">
        <v>5002</v>
      </c>
      <c r="K1762" s="1544"/>
      <c r="L1762" s="1544"/>
      <c r="M1762" s="1544"/>
      <c r="N1762" s="1544"/>
      <c r="O1762" s="1544"/>
    </row>
    <row r="1763" spans="8:15">
      <c r="H1763" s="1543" t="s">
        <v>5003</v>
      </c>
      <c r="I1763" s="1544" t="s">
        <v>510</v>
      </c>
      <c r="J1763" s="1544" t="s">
        <v>5004</v>
      </c>
      <c r="K1763" s="1544"/>
      <c r="L1763" s="1544"/>
      <c r="M1763" s="1544"/>
      <c r="N1763" s="1544"/>
      <c r="O1763" s="1544"/>
    </row>
    <row r="1764" spans="8:15">
      <c r="H1764" s="1543" t="s">
        <v>5005</v>
      </c>
      <c r="I1764" s="1544" t="s">
        <v>510</v>
      </c>
      <c r="J1764" s="1544" t="s">
        <v>5006</v>
      </c>
      <c r="K1764" s="1544"/>
      <c r="L1764" s="1544"/>
      <c r="M1764" s="1544"/>
      <c r="N1764" s="1544"/>
      <c r="O1764" s="1544"/>
    </row>
    <row r="1765" spans="8:15">
      <c r="H1765" s="1543" t="s">
        <v>5007</v>
      </c>
      <c r="I1765" s="1544" t="s">
        <v>510</v>
      </c>
      <c r="J1765" s="1544" t="s">
        <v>5008</v>
      </c>
      <c r="K1765" s="1544"/>
      <c r="L1765" s="1544"/>
      <c r="M1765" s="1544"/>
      <c r="N1765" s="1544"/>
      <c r="O1765" s="1544"/>
    </row>
    <row r="1766" spans="8:15">
      <c r="H1766" s="1543" t="s">
        <v>5009</v>
      </c>
      <c r="I1766" s="1544" t="s">
        <v>510</v>
      </c>
      <c r="J1766" s="1544" t="s">
        <v>5010</v>
      </c>
      <c r="K1766" s="1544"/>
      <c r="L1766" s="1544"/>
      <c r="M1766" s="1544"/>
      <c r="N1766" s="1544"/>
      <c r="O1766" s="1544"/>
    </row>
    <row r="1767" spans="8:15">
      <c r="H1767" s="1543" t="s">
        <v>5011</v>
      </c>
      <c r="I1767" s="1544" t="s">
        <v>510</v>
      </c>
      <c r="J1767" s="1544" t="s">
        <v>5012</v>
      </c>
      <c r="K1767" s="1544"/>
      <c r="L1767" s="1544"/>
      <c r="M1767" s="1544"/>
      <c r="N1767" s="1544"/>
      <c r="O1767" s="1544"/>
    </row>
    <row r="1768" spans="8:15">
      <c r="H1768" s="1543" t="s">
        <v>5013</v>
      </c>
      <c r="I1768" s="1544" t="s">
        <v>510</v>
      </c>
      <c r="J1768" s="1544" t="s">
        <v>5014</v>
      </c>
      <c r="K1768" s="1544"/>
      <c r="L1768" s="1544"/>
      <c r="M1768" s="1544"/>
      <c r="N1768" s="1544"/>
      <c r="O1768" s="1544"/>
    </row>
    <row r="1769" spans="8:15">
      <c r="H1769" s="1543" t="s">
        <v>5015</v>
      </c>
      <c r="I1769" s="1544" t="s">
        <v>510</v>
      </c>
      <c r="J1769" s="1544" t="s">
        <v>5016</v>
      </c>
      <c r="K1769" s="1544"/>
      <c r="L1769" s="1544"/>
      <c r="M1769" s="1544"/>
      <c r="N1769" s="1544"/>
      <c r="O1769" s="1544"/>
    </row>
    <row r="1770" spans="8:15">
      <c r="H1770" s="1543" t="s">
        <v>5017</v>
      </c>
      <c r="I1770" s="1544" t="s">
        <v>510</v>
      </c>
      <c r="J1770" s="1544" t="s">
        <v>5018</v>
      </c>
      <c r="K1770" s="1544"/>
      <c r="L1770" s="1544"/>
      <c r="M1770" s="1544"/>
      <c r="N1770" s="1544"/>
      <c r="O1770" s="1544"/>
    </row>
    <row r="1771" spans="8:15">
      <c r="H1771" s="1543" t="s">
        <v>5019</v>
      </c>
      <c r="I1771" s="1544" t="s">
        <v>510</v>
      </c>
      <c r="J1771" s="1544" t="s">
        <v>5020</v>
      </c>
      <c r="K1771" s="1544"/>
      <c r="L1771" s="1544"/>
      <c r="M1771" s="1544"/>
      <c r="N1771" s="1544"/>
      <c r="O1771" s="1544"/>
    </row>
    <row r="1772" spans="8:15">
      <c r="H1772" s="1543" t="s">
        <v>5021</v>
      </c>
      <c r="I1772" s="1544" t="s">
        <v>510</v>
      </c>
      <c r="J1772" s="1544" t="s">
        <v>5022</v>
      </c>
      <c r="K1772" s="1544"/>
      <c r="L1772" s="1544"/>
      <c r="M1772" s="1544"/>
      <c r="N1772" s="1544"/>
      <c r="O1772" s="1544"/>
    </row>
    <row r="1773" spans="8:15">
      <c r="H1773" s="1543" t="s">
        <v>5023</v>
      </c>
      <c r="I1773" s="1544" t="s">
        <v>510</v>
      </c>
      <c r="J1773" s="1544" t="s">
        <v>5024</v>
      </c>
      <c r="K1773" s="1544"/>
      <c r="L1773" s="1544"/>
      <c r="M1773" s="1544"/>
      <c r="N1773" s="1544"/>
      <c r="O1773" s="1544"/>
    </row>
    <row r="1774" spans="8:15">
      <c r="H1774" s="1543" t="s">
        <v>5025</v>
      </c>
      <c r="I1774" s="1544" t="s">
        <v>510</v>
      </c>
      <c r="J1774" s="1544" t="s">
        <v>5026</v>
      </c>
      <c r="K1774" s="1544"/>
      <c r="L1774" s="1544"/>
      <c r="M1774" s="1544"/>
      <c r="N1774" s="1544"/>
      <c r="O1774" s="1544"/>
    </row>
    <row r="1775" spans="8:15">
      <c r="H1775" s="1543" t="s">
        <v>5027</v>
      </c>
      <c r="I1775" s="1544" t="s">
        <v>510</v>
      </c>
      <c r="J1775" s="1544" t="s">
        <v>5028</v>
      </c>
      <c r="K1775" s="1544"/>
      <c r="L1775" s="1544"/>
      <c r="M1775" s="1544"/>
      <c r="N1775" s="1544"/>
      <c r="O1775" s="1544"/>
    </row>
    <row r="1776" spans="8:15">
      <c r="H1776" s="1543" t="s">
        <v>5029</v>
      </c>
      <c r="I1776" s="1544" t="s">
        <v>510</v>
      </c>
      <c r="J1776" s="1544" t="s">
        <v>5030</v>
      </c>
      <c r="K1776" s="1544"/>
      <c r="L1776" s="1544"/>
      <c r="M1776" s="1544"/>
      <c r="N1776" s="1544"/>
      <c r="O1776" s="1544"/>
    </row>
    <row r="1777" spans="8:15">
      <c r="H1777" s="1543" t="s">
        <v>5031</v>
      </c>
      <c r="I1777" s="1544" t="s">
        <v>510</v>
      </c>
      <c r="J1777" s="1544" t="s">
        <v>5032</v>
      </c>
      <c r="K1777" s="1544"/>
      <c r="L1777" s="1544"/>
      <c r="M1777" s="1544"/>
      <c r="N1777" s="1544"/>
      <c r="O1777" s="1544"/>
    </row>
    <row r="1778" spans="8:15">
      <c r="H1778" s="1543" t="s">
        <v>5033</v>
      </c>
      <c r="I1778" s="1544" t="s">
        <v>511</v>
      </c>
      <c r="J1778" s="1544"/>
      <c r="K1778" s="1544">
        <f>ROW()</f>
        <v>1778</v>
      </c>
      <c r="L1778" s="1544">
        <f>K1778+COUNTIF($I$122:$I$1909,I1778)-1</f>
        <v>1796</v>
      </c>
      <c r="M1778" s="1544"/>
      <c r="N1778" s="1544"/>
      <c r="O1778" s="1544"/>
    </row>
    <row r="1779" spans="8:15">
      <c r="H1779" s="1543" t="s">
        <v>1351</v>
      </c>
      <c r="I1779" s="1544" t="s">
        <v>511</v>
      </c>
      <c r="J1779" s="1544" t="s">
        <v>1350</v>
      </c>
      <c r="K1779" s="1544"/>
      <c r="L1779" s="1544"/>
      <c r="M1779" s="1544"/>
      <c r="N1779" s="1544"/>
      <c r="O1779" s="1544"/>
    </row>
    <row r="1780" spans="8:15">
      <c r="H1780" s="1543" t="s">
        <v>5034</v>
      </c>
      <c r="I1780" s="1544" t="s">
        <v>511</v>
      </c>
      <c r="J1780" s="1544" t="s">
        <v>5035</v>
      </c>
      <c r="K1780" s="1544"/>
      <c r="L1780" s="1544"/>
      <c r="M1780" s="1544"/>
      <c r="N1780" s="1544"/>
      <c r="O1780" s="1544"/>
    </row>
    <row r="1781" spans="8:15">
      <c r="H1781" s="1543" t="s">
        <v>5036</v>
      </c>
      <c r="I1781" s="1544" t="s">
        <v>511</v>
      </c>
      <c r="J1781" s="1544" t="s">
        <v>5037</v>
      </c>
      <c r="K1781" s="1544"/>
      <c r="L1781" s="1544"/>
      <c r="M1781" s="1544"/>
      <c r="N1781" s="1544"/>
      <c r="O1781" s="1544"/>
    </row>
    <row r="1782" spans="8:15">
      <c r="H1782" s="1543" t="s">
        <v>5038</v>
      </c>
      <c r="I1782" s="1544" t="s">
        <v>511</v>
      </c>
      <c r="J1782" s="1544" t="s">
        <v>5039</v>
      </c>
      <c r="K1782" s="1544"/>
      <c r="L1782" s="1544"/>
      <c r="M1782" s="1544"/>
      <c r="N1782" s="1544"/>
      <c r="O1782" s="1544"/>
    </row>
    <row r="1783" spans="8:15">
      <c r="H1783" s="1543" t="s">
        <v>5040</v>
      </c>
      <c r="I1783" s="1544" t="s">
        <v>511</v>
      </c>
      <c r="J1783" s="1544" t="s">
        <v>5041</v>
      </c>
      <c r="K1783" s="1544"/>
      <c r="L1783" s="1544"/>
      <c r="M1783" s="1544"/>
      <c r="N1783" s="1544"/>
      <c r="O1783" s="1544"/>
    </row>
    <row r="1784" spans="8:15">
      <c r="H1784" s="1543" t="s">
        <v>5042</v>
      </c>
      <c r="I1784" s="1544" t="s">
        <v>511</v>
      </c>
      <c r="J1784" s="1544" t="s">
        <v>5043</v>
      </c>
      <c r="K1784" s="1544"/>
      <c r="L1784" s="1544"/>
      <c r="M1784" s="1544"/>
      <c r="N1784" s="1544"/>
      <c r="O1784" s="1544"/>
    </row>
    <row r="1785" spans="8:15">
      <c r="H1785" s="1543" t="s">
        <v>5044</v>
      </c>
      <c r="I1785" s="1544" t="s">
        <v>511</v>
      </c>
      <c r="J1785" s="1544" t="s">
        <v>5045</v>
      </c>
      <c r="K1785" s="1544"/>
      <c r="L1785" s="1544"/>
      <c r="M1785" s="1544"/>
      <c r="N1785" s="1544"/>
      <c r="O1785" s="1544"/>
    </row>
    <row r="1786" spans="8:15">
      <c r="H1786" s="1543" t="s">
        <v>5046</v>
      </c>
      <c r="I1786" s="1544" t="s">
        <v>511</v>
      </c>
      <c r="J1786" s="1544" t="s">
        <v>5047</v>
      </c>
      <c r="K1786" s="1544"/>
      <c r="L1786" s="1544"/>
      <c r="M1786" s="1544"/>
      <c r="N1786" s="1544"/>
      <c r="O1786" s="1544"/>
    </row>
    <row r="1787" spans="8:15">
      <c r="H1787" s="1543" t="s">
        <v>5048</v>
      </c>
      <c r="I1787" s="1544" t="s">
        <v>511</v>
      </c>
      <c r="J1787" s="1544" t="s">
        <v>5049</v>
      </c>
      <c r="K1787" s="1544"/>
      <c r="L1787" s="1544"/>
      <c r="M1787" s="1544"/>
      <c r="N1787" s="1544"/>
      <c r="O1787" s="1544"/>
    </row>
    <row r="1788" spans="8:15">
      <c r="H1788" s="1543" t="s">
        <v>5050</v>
      </c>
      <c r="I1788" s="1544" t="s">
        <v>511</v>
      </c>
      <c r="J1788" s="1544" t="s">
        <v>5051</v>
      </c>
      <c r="K1788" s="1544"/>
      <c r="L1788" s="1544"/>
      <c r="M1788" s="1544"/>
      <c r="N1788" s="1544"/>
      <c r="O1788" s="1544"/>
    </row>
    <row r="1789" spans="8:15">
      <c r="H1789" s="1543" t="s">
        <v>5052</v>
      </c>
      <c r="I1789" s="1544" t="s">
        <v>511</v>
      </c>
      <c r="J1789" s="1544" t="s">
        <v>5053</v>
      </c>
      <c r="K1789" s="1544"/>
      <c r="L1789" s="1544"/>
      <c r="M1789" s="1544"/>
      <c r="N1789" s="1544"/>
      <c r="O1789" s="1544"/>
    </row>
    <row r="1790" spans="8:15">
      <c r="H1790" s="1543" t="s">
        <v>5054</v>
      </c>
      <c r="I1790" s="1544" t="s">
        <v>511</v>
      </c>
      <c r="J1790" s="1544" t="s">
        <v>5055</v>
      </c>
      <c r="K1790" s="1544"/>
      <c r="L1790" s="1544"/>
      <c r="M1790" s="1544"/>
      <c r="N1790" s="1544"/>
      <c r="O1790" s="1544"/>
    </row>
    <row r="1791" spans="8:15">
      <c r="H1791" s="1543" t="s">
        <v>5056</v>
      </c>
      <c r="I1791" s="1544" t="s">
        <v>511</v>
      </c>
      <c r="J1791" s="1544" t="s">
        <v>5057</v>
      </c>
      <c r="K1791" s="1544"/>
      <c r="L1791" s="1544"/>
      <c r="M1791" s="1544"/>
      <c r="N1791" s="1544"/>
      <c r="O1791" s="1544"/>
    </row>
    <row r="1792" spans="8:15">
      <c r="H1792" s="1543" t="s">
        <v>5058</v>
      </c>
      <c r="I1792" s="1544" t="s">
        <v>511</v>
      </c>
      <c r="J1792" s="1544" t="s">
        <v>5059</v>
      </c>
      <c r="K1792" s="1544"/>
      <c r="L1792" s="1544"/>
      <c r="M1792" s="1544"/>
      <c r="N1792" s="1544"/>
      <c r="O1792" s="1544"/>
    </row>
    <row r="1793" spans="8:15">
      <c r="H1793" s="1543" t="s">
        <v>5060</v>
      </c>
      <c r="I1793" s="1544" t="s">
        <v>511</v>
      </c>
      <c r="J1793" s="1544" t="s">
        <v>5061</v>
      </c>
      <c r="K1793" s="1544"/>
      <c r="L1793" s="1544"/>
      <c r="M1793" s="1544"/>
      <c r="N1793" s="1544"/>
      <c r="O1793" s="1544"/>
    </row>
    <row r="1794" spans="8:15">
      <c r="H1794" s="1543" t="s">
        <v>5062</v>
      </c>
      <c r="I1794" s="1544" t="s">
        <v>511</v>
      </c>
      <c r="J1794" s="1544" t="s">
        <v>5063</v>
      </c>
      <c r="K1794" s="1544"/>
      <c r="L1794" s="1544"/>
      <c r="M1794" s="1544"/>
      <c r="N1794" s="1544"/>
      <c r="O1794" s="1544"/>
    </row>
    <row r="1795" spans="8:15">
      <c r="H1795" s="1543" t="s">
        <v>5064</v>
      </c>
      <c r="I1795" s="1544" t="s">
        <v>511</v>
      </c>
      <c r="J1795" s="1544" t="s">
        <v>5065</v>
      </c>
      <c r="K1795" s="1544"/>
      <c r="L1795" s="1544"/>
      <c r="M1795" s="1544"/>
      <c r="N1795" s="1544"/>
      <c r="O1795" s="1544"/>
    </row>
    <row r="1796" spans="8:15">
      <c r="H1796" s="1543" t="s">
        <v>5066</v>
      </c>
      <c r="I1796" s="1544" t="s">
        <v>511</v>
      </c>
      <c r="J1796" s="1544" t="s">
        <v>5067</v>
      </c>
      <c r="K1796" s="1544"/>
      <c r="L1796" s="1544"/>
      <c r="M1796" s="1544"/>
      <c r="N1796" s="1544"/>
      <c r="O1796" s="1544"/>
    </row>
    <row r="1797" spans="8:15">
      <c r="H1797" s="1543" t="s">
        <v>5068</v>
      </c>
      <c r="I1797" s="1544" t="s">
        <v>512</v>
      </c>
      <c r="J1797" s="1544"/>
      <c r="K1797" s="1544">
        <f>ROW()</f>
        <v>1797</v>
      </c>
      <c r="L1797" s="1544">
        <f>K1797+COUNTIF($I$122:$I$1909,I1797)-1</f>
        <v>1823</v>
      </c>
      <c r="M1797" s="1544"/>
      <c r="N1797" s="1544"/>
      <c r="O1797" s="1544"/>
    </row>
    <row r="1798" spans="8:15">
      <c r="H1798" s="1543" t="s">
        <v>1353</v>
      </c>
      <c r="I1798" s="1544" t="s">
        <v>512</v>
      </c>
      <c r="J1798" s="1544" t="s">
        <v>1352</v>
      </c>
      <c r="K1798" s="1544"/>
      <c r="L1798" s="1544"/>
      <c r="M1798" s="1544"/>
      <c r="N1798" s="1544"/>
      <c r="O1798" s="1544"/>
    </row>
    <row r="1799" spans="8:15">
      <c r="H1799" s="1543" t="s">
        <v>5069</v>
      </c>
      <c r="I1799" s="1544" t="s">
        <v>512</v>
      </c>
      <c r="J1799" s="1544" t="s">
        <v>5070</v>
      </c>
      <c r="K1799" s="1544"/>
      <c r="L1799" s="1544"/>
      <c r="M1799" s="1544"/>
      <c r="N1799" s="1544"/>
      <c r="O1799" s="1544"/>
    </row>
    <row r="1800" spans="8:15">
      <c r="H1800" s="1543" t="s">
        <v>5071</v>
      </c>
      <c r="I1800" s="1544" t="s">
        <v>512</v>
      </c>
      <c r="J1800" s="1544" t="s">
        <v>5072</v>
      </c>
      <c r="K1800" s="1544"/>
      <c r="L1800" s="1544"/>
      <c r="M1800" s="1544"/>
      <c r="N1800" s="1544"/>
      <c r="O1800" s="1544"/>
    </row>
    <row r="1801" spans="8:15">
      <c r="H1801" s="1543" t="s">
        <v>5073</v>
      </c>
      <c r="I1801" s="1544" t="s">
        <v>512</v>
      </c>
      <c r="J1801" s="1544" t="s">
        <v>5074</v>
      </c>
      <c r="K1801" s="1544"/>
      <c r="L1801" s="1544"/>
      <c r="M1801" s="1544"/>
      <c r="N1801" s="1544"/>
      <c r="O1801" s="1544"/>
    </row>
    <row r="1802" spans="8:15">
      <c r="H1802" s="1543" t="s">
        <v>5075</v>
      </c>
      <c r="I1802" s="1544" t="s">
        <v>512</v>
      </c>
      <c r="J1802" s="1544" t="s">
        <v>5076</v>
      </c>
      <c r="K1802" s="1544"/>
      <c r="L1802" s="1544"/>
      <c r="M1802" s="1544"/>
      <c r="N1802" s="1544"/>
      <c r="O1802" s="1544"/>
    </row>
    <row r="1803" spans="8:15">
      <c r="H1803" s="1543" t="s">
        <v>5077</v>
      </c>
      <c r="I1803" s="1544" t="s">
        <v>512</v>
      </c>
      <c r="J1803" s="1544" t="s">
        <v>5078</v>
      </c>
      <c r="K1803" s="1544"/>
      <c r="L1803" s="1544"/>
      <c r="M1803" s="1544"/>
      <c r="N1803" s="1544"/>
      <c r="O1803" s="1544"/>
    </row>
    <row r="1804" spans="8:15">
      <c r="H1804" s="1543" t="s">
        <v>5079</v>
      </c>
      <c r="I1804" s="1544" t="s">
        <v>512</v>
      </c>
      <c r="J1804" s="1544" t="s">
        <v>5080</v>
      </c>
      <c r="K1804" s="1544"/>
      <c r="L1804" s="1544"/>
      <c r="M1804" s="1544"/>
      <c r="N1804" s="1544"/>
      <c r="O1804" s="1544"/>
    </row>
    <row r="1805" spans="8:15">
      <c r="H1805" s="1543" t="s">
        <v>5081</v>
      </c>
      <c r="I1805" s="1544" t="s">
        <v>512</v>
      </c>
      <c r="J1805" s="1544" t="s">
        <v>5082</v>
      </c>
      <c r="K1805" s="1544"/>
      <c r="L1805" s="1544"/>
      <c r="M1805" s="1544"/>
      <c r="N1805" s="1544"/>
      <c r="O1805" s="1544"/>
    </row>
    <row r="1806" spans="8:15">
      <c r="H1806" s="1543" t="s">
        <v>5083</v>
      </c>
      <c r="I1806" s="1544" t="s">
        <v>512</v>
      </c>
      <c r="J1806" s="1544" t="s">
        <v>5084</v>
      </c>
      <c r="K1806" s="1544"/>
      <c r="L1806" s="1544"/>
      <c r="M1806" s="1544"/>
      <c r="N1806" s="1544"/>
      <c r="O1806" s="1544"/>
    </row>
    <row r="1807" spans="8:15">
      <c r="H1807" s="1543" t="s">
        <v>5085</v>
      </c>
      <c r="I1807" s="1544" t="s">
        <v>512</v>
      </c>
      <c r="J1807" s="1544" t="s">
        <v>5086</v>
      </c>
      <c r="K1807" s="1544"/>
      <c r="L1807" s="1544"/>
      <c r="M1807" s="1544"/>
      <c r="N1807" s="1544"/>
      <c r="O1807" s="1544"/>
    </row>
    <row r="1808" spans="8:15">
      <c r="H1808" s="1543" t="s">
        <v>5087</v>
      </c>
      <c r="I1808" s="1544" t="s">
        <v>512</v>
      </c>
      <c r="J1808" s="1544" t="s">
        <v>5088</v>
      </c>
      <c r="K1808" s="1544"/>
      <c r="L1808" s="1544"/>
      <c r="M1808" s="1544"/>
      <c r="N1808" s="1544"/>
      <c r="O1808" s="1544"/>
    </row>
    <row r="1809" spans="8:15">
      <c r="H1809" s="1543" t="s">
        <v>5089</v>
      </c>
      <c r="I1809" s="1544" t="s">
        <v>512</v>
      </c>
      <c r="J1809" s="1544" t="s">
        <v>5090</v>
      </c>
      <c r="K1809" s="1544"/>
      <c r="L1809" s="1544"/>
      <c r="M1809" s="1544"/>
      <c r="N1809" s="1544"/>
      <c r="O1809" s="1544"/>
    </row>
    <row r="1810" spans="8:15">
      <c r="H1810" s="1543" t="s">
        <v>5091</v>
      </c>
      <c r="I1810" s="1544" t="s">
        <v>512</v>
      </c>
      <c r="J1810" s="1544" t="s">
        <v>5092</v>
      </c>
      <c r="K1810" s="1544"/>
      <c r="L1810" s="1544"/>
      <c r="M1810" s="1544"/>
      <c r="N1810" s="1544"/>
      <c r="O1810" s="1544"/>
    </row>
    <row r="1811" spans="8:15">
      <c r="H1811" s="1543" t="s">
        <v>5093</v>
      </c>
      <c r="I1811" s="1544" t="s">
        <v>512</v>
      </c>
      <c r="J1811" s="1544" t="s">
        <v>5094</v>
      </c>
      <c r="K1811" s="1544"/>
      <c r="L1811" s="1544"/>
      <c r="M1811" s="1544"/>
      <c r="N1811" s="1544"/>
      <c r="O1811" s="1544"/>
    </row>
    <row r="1812" spans="8:15">
      <c r="H1812" s="1543" t="s">
        <v>5095</v>
      </c>
      <c r="I1812" s="1544" t="s">
        <v>512</v>
      </c>
      <c r="J1812" s="1544" t="s">
        <v>5096</v>
      </c>
      <c r="K1812" s="1544"/>
      <c r="L1812" s="1544"/>
      <c r="M1812" s="1544"/>
      <c r="N1812" s="1544"/>
      <c r="O1812" s="1544"/>
    </row>
    <row r="1813" spans="8:15">
      <c r="H1813" s="1543" t="s">
        <v>5097</v>
      </c>
      <c r="I1813" s="1544" t="s">
        <v>512</v>
      </c>
      <c r="J1813" s="1544" t="s">
        <v>5098</v>
      </c>
      <c r="K1813" s="1544"/>
      <c r="L1813" s="1544"/>
      <c r="M1813" s="1544"/>
      <c r="N1813" s="1544"/>
      <c r="O1813" s="1544"/>
    </row>
    <row r="1814" spans="8:15">
      <c r="H1814" s="1543" t="s">
        <v>5099</v>
      </c>
      <c r="I1814" s="1544" t="s">
        <v>512</v>
      </c>
      <c r="J1814" s="1544" t="s">
        <v>5100</v>
      </c>
      <c r="K1814" s="1544"/>
      <c r="L1814" s="1544"/>
      <c r="M1814" s="1544"/>
      <c r="N1814" s="1544"/>
      <c r="O1814" s="1544"/>
    </row>
    <row r="1815" spans="8:15">
      <c r="H1815" s="1543" t="s">
        <v>5101</v>
      </c>
      <c r="I1815" s="1544" t="s">
        <v>512</v>
      </c>
      <c r="J1815" s="1544" t="s">
        <v>5102</v>
      </c>
      <c r="K1815" s="1544"/>
      <c r="L1815" s="1544"/>
      <c r="M1815" s="1544"/>
      <c r="N1815" s="1544"/>
      <c r="O1815" s="1544"/>
    </row>
    <row r="1816" spans="8:15">
      <c r="H1816" s="1543" t="s">
        <v>5103</v>
      </c>
      <c r="I1816" s="1544" t="s">
        <v>512</v>
      </c>
      <c r="J1816" s="1544" t="s">
        <v>5104</v>
      </c>
      <c r="K1816" s="1544"/>
      <c r="L1816" s="1544"/>
      <c r="M1816" s="1544"/>
      <c r="N1816" s="1544"/>
      <c r="O1816" s="1544"/>
    </row>
    <row r="1817" spans="8:15">
      <c r="H1817" s="1543" t="s">
        <v>5105</v>
      </c>
      <c r="I1817" s="1544" t="s">
        <v>512</v>
      </c>
      <c r="J1817" s="1544" t="s">
        <v>5106</v>
      </c>
      <c r="K1817" s="1544"/>
      <c r="L1817" s="1544"/>
      <c r="M1817" s="1544"/>
      <c r="N1817" s="1544"/>
      <c r="O1817" s="1544"/>
    </row>
    <row r="1818" spans="8:15">
      <c r="H1818" s="1543" t="s">
        <v>5107</v>
      </c>
      <c r="I1818" s="1544" t="s">
        <v>512</v>
      </c>
      <c r="J1818" s="1544" t="s">
        <v>5108</v>
      </c>
      <c r="K1818" s="1544"/>
      <c r="L1818" s="1544"/>
      <c r="M1818" s="1544"/>
      <c r="N1818" s="1544"/>
      <c r="O1818" s="1544"/>
    </row>
    <row r="1819" spans="8:15">
      <c r="H1819" s="1543" t="s">
        <v>5109</v>
      </c>
      <c r="I1819" s="1544" t="s">
        <v>512</v>
      </c>
      <c r="J1819" s="1544" t="s">
        <v>5110</v>
      </c>
      <c r="K1819" s="1544"/>
      <c r="L1819" s="1544"/>
      <c r="M1819" s="1544"/>
      <c r="N1819" s="1544"/>
      <c r="O1819" s="1544"/>
    </row>
    <row r="1820" spans="8:15">
      <c r="H1820" s="1543" t="s">
        <v>5111</v>
      </c>
      <c r="I1820" s="1544" t="s">
        <v>512</v>
      </c>
      <c r="J1820" s="1544" t="s">
        <v>2649</v>
      </c>
      <c r="K1820" s="1544"/>
      <c r="L1820" s="1544"/>
      <c r="M1820" s="1544"/>
      <c r="N1820" s="1544"/>
      <c r="O1820" s="1544"/>
    </row>
    <row r="1821" spans="8:15">
      <c r="H1821" s="1543" t="s">
        <v>5112</v>
      </c>
      <c r="I1821" s="1544" t="s">
        <v>512</v>
      </c>
      <c r="J1821" s="1544" t="s">
        <v>5113</v>
      </c>
      <c r="K1821" s="1544"/>
      <c r="L1821" s="1544"/>
      <c r="M1821" s="1544"/>
      <c r="N1821" s="1544"/>
      <c r="O1821" s="1544"/>
    </row>
    <row r="1822" spans="8:15">
      <c r="H1822" s="1543" t="s">
        <v>5114</v>
      </c>
      <c r="I1822" s="1544" t="s">
        <v>512</v>
      </c>
      <c r="J1822" s="1544" t="s">
        <v>5115</v>
      </c>
      <c r="K1822" s="1544"/>
      <c r="L1822" s="1544"/>
      <c r="M1822" s="1544"/>
      <c r="N1822" s="1544"/>
      <c r="O1822" s="1544"/>
    </row>
    <row r="1823" spans="8:15">
      <c r="H1823" s="1543" t="s">
        <v>5116</v>
      </c>
      <c r="I1823" s="1544" t="s">
        <v>512</v>
      </c>
      <c r="J1823" s="1544" t="s">
        <v>5117</v>
      </c>
      <c r="K1823" s="1544"/>
      <c r="L1823" s="1544"/>
      <c r="M1823" s="1544"/>
      <c r="N1823" s="1544"/>
      <c r="O1823" s="1544"/>
    </row>
    <row r="1824" spans="8:15">
      <c r="H1824" s="1543" t="s">
        <v>5118</v>
      </c>
      <c r="I1824" s="1544" t="s">
        <v>513</v>
      </c>
      <c r="J1824" s="1544"/>
      <c r="K1824" s="1544">
        <f>ROW()</f>
        <v>1824</v>
      </c>
      <c r="L1824" s="1544">
        <f>K1824+COUNTIF($I$122:$I$1909,I1824)-1</f>
        <v>1867</v>
      </c>
      <c r="M1824" s="1544"/>
      <c r="N1824" s="1544"/>
      <c r="O1824" s="1544"/>
    </row>
    <row r="1825" spans="8:15">
      <c r="H1825" s="1543" t="s">
        <v>1355</v>
      </c>
      <c r="I1825" s="1544" t="s">
        <v>513</v>
      </c>
      <c r="J1825" s="1544" t="s">
        <v>1354</v>
      </c>
      <c r="K1825" s="1544"/>
      <c r="L1825" s="1544"/>
      <c r="M1825" s="1544"/>
      <c r="N1825" s="1544"/>
      <c r="O1825" s="1544"/>
    </row>
    <row r="1826" spans="8:15">
      <c r="H1826" s="1543" t="s">
        <v>5119</v>
      </c>
      <c r="I1826" s="1544" t="s">
        <v>513</v>
      </c>
      <c r="J1826" s="1544" t="s">
        <v>5120</v>
      </c>
      <c r="K1826" s="1544"/>
      <c r="L1826" s="1544"/>
      <c r="M1826" s="1544"/>
      <c r="N1826" s="1544"/>
      <c r="O1826" s="1544"/>
    </row>
    <row r="1827" spans="8:15">
      <c r="H1827" s="1543" t="s">
        <v>5121</v>
      </c>
      <c r="I1827" s="1544" t="s">
        <v>513</v>
      </c>
      <c r="J1827" s="1544" t="s">
        <v>5122</v>
      </c>
      <c r="K1827" s="1544"/>
      <c r="L1827" s="1544"/>
      <c r="M1827" s="1544"/>
      <c r="N1827" s="1544"/>
      <c r="O1827" s="1544"/>
    </row>
    <row r="1828" spans="8:15">
      <c r="H1828" s="1543" t="s">
        <v>5123</v>
      </c>
      <c r="I1828" s="1544" t="s">
        <v>513</v>
      </c>
      <c r="J1828" s="1544" t="s">
        <v>5124</v>
      </c>
      <c r="K1828" s="1544"/>
      <c r="L1828" s="1544"/>
      <c r="M1828" s="1544"/>
      <c r="N1828" s="1544"/>
      <c r="O1828" s="1544"/>
    </row>
    <row r="1829" spans="8:15">
      <c r="H1829" s="1543" t="s">
        <v>5125</v>
      </c>
      <c r="I1829" s="1544" t="s">
        <v>513</v>
      </c>
      <c r="J1829" s="1544" t="s">
        <v>5126</v>
      </c>
      <c r="K1829" s="1544"/>
      <c r="L1829" s="1544"/>
      <c r="M1829" s="1544"/>
      <c r="N1829" s="1544"/>
      <c r="O1829" s="1544"/>
    </row>
    <row r="1830" spans="8:15">
      <c r="H1830" s="1543" t="s">
        <v>5127</v>
      </c>
      <c r="I1830" s="1544" t="s">
        <v>513</v>
      </c>
      <c r="J1830" s="1544" t="s">
        <v>5128</v>
      </c>
      <c r="K1830" s="1544"/>
      <c r="L1830" s="1544"/>
      <c r="M1830" s="1544"/>
      <c r="N1830" s="1544"/>
      <c r="O1830" s="1544"/>
    </row>
    <row r="1831" spans="8:15">
      <c r="H1831" s="1543" t="s">
        <v>5129</v>
      </c>
      <c r="I1831" s="1544" t="s">
        <v>513</v>
      </c>
      <c r="J1831" s="1544" t="s">
        <v>5130</v>
      </c>
      <c r="K1831" s="1544"/>
      <c r="L1831" s="1544"/>
      <c r="M1831" s="1544"/>
      <c r="N1831" s="1544"/>
      <c r="O1831" s="1544"/>
    </row>
    <row r="1832" spans="8:15">
      <c r="H1832" s="1543" t="s">
        <v>5131</v>
      </c>
      <c r="I1832" s="1544" t="s">
        <v>513</v>
      </c>
      <c r="J1832" s="1544" t="s">
        <v>5132</v>
      </c>
      <c r="K1832" s="1544"/>
      <c r="L1832" s="1544"/>
      <c r="M1832" s="1544"/>
      <c r="N1832" s="1544"/>
      <c r="O1832" s="1544"/>
    </row>
    <row r="1833" spans="8:15">
      <c r="H1833" s="1543" t="s">
        <v>5133</v>
      </c>
      <c r="I1833" s="1544" t="s">
        <v>513</v>
      </c>
      <c r="J1833" s="1544" t="s">
        <v>5134</v>
      </c>
      <c r="K1833" s="1544"/>
      <c r="L1833" s="1544"/>
      <c r="M1833" s="1544"/>
      <c r="N1833" s="1544"/>
      <c r="O1833" s="1544"/>
    </row>
    <row r="1834" spans="8:15">
      <c r="H1834" s="1543" t="s">
        <v>5135</v>
      </c>
      <c r="I1834" s="1544" t="s">
        <v>513</v>
      </c>
      <c r="J1834" s="1544" t="s">
        <v>5136</v>
      </c>
      <c r="K1834" s="1544"/>
      <c r="L1834" s="1544"/>
      <c r="M1834" s="1544"/>
      <c r="N1834" s="1544"/>
      <c r="O1834" s="1544"/>
    </row>
    <row r="1835" spans="8:15">
      <c r="H1835" s="1543" t="s">
        <v>5137</v>
      </c>
      <c r="I1835" s="1544" t="s">
        <v>513</v>
      </c>
      <c r="J1835" s="1544" t="s">
        <v>5138</v>
      </c>
      <c r="K1835" s="1544"/>
      <c r="L1835" s="1544"/>
      <c r="M1835" s="1544"/>
      <c r="N1835" s="1544"/>
      <c r="O1835" s="1544"/>
    </row>
    <row r="1836" spans="8:15">
      <c r="H1836" s="1543" t="s">
        <v>5139</v>
      </c>
      <c r="I1836" s="1544" t="s">
        <v>513</v>
      </c>
      <c r="J1836" s="1544" t="s">
        <v>5140</v>
      </c>
      <c r="K1836" s="1544"/>
      <c r="L1836" s="1544"/>
      <c r="M1836" s="1544"/>
      <c r="N1836" s="1544"/>
      <c r="O1836" s="1544"/>
    </row>
    <row r="1837" spans="8:15">
      <c r="H1837" s="1543" t="s">
        <v>5141</v>
      </c>
      <c r="I1837" s="1544" t="s">
        <v>513</v>
      </c>
      <c r="J1837" s="1544" t="s">
        <v>5142</v>
      </c>
      <c r="K1837" s="1544"/>
      <c r="L1837" s="1544"/>
      <c r="M1837" s="1544"/>
      <c r="N1837" s="1544"/>
      <c r="O1837" s="1544"/>
    </row>
    <row r="1838" spans="8:15">
      <c r="H1838" s="1543" t="s">
        <v>5143</v>
      </c>
      <c r="I1838" s="1544" t="s">
        <v>513</v>
      </c>
      <c r="J1838" s="1544" t="s">
        <v>5144</v>
      </c>
      <c r="K1838" s="1544"/>
      <c r="L1838" s="1544"/>
      <c r="M1838" s="1544"/>
      <c r="N1838" s="1544"/>
      <c r="O1838" s="1544"/>
    </row>
    <row r="1839" spans="8:15">
      <c r="H1839" s="1543" t="s">
        <v>5145</v>
      </c>
      <c r="I1839" s="1544" t="s">
        <v>513</v>
      </c>
      <c r="J1839" s="1544" t="s">
        <v>5146</v>
      </c>
      <c r="K1839" s="1544"/>
      <c r="L1839" s="1544"/>
      <c r="M1839" s="1544"/>
      <c r="N1839" s="1544"/>
      <c r="O1839" s="1544"/>
    </row>
    <row r="1840" spans="8:15">
      <c r="H1840" s="1543" t="s">
        <v>5147</v>
      </c>
      <c r="I1840" s="1544" t="s">
        <v>513</v>
      </c>
      <c r="J1840" s="1544" t="s">
        <v>5148</v>
      </c>
      <c r="K1840" s="1544"/>
      <c r="L1840" s="1544"/>
      <c r="M1840" s="1544"/>
      <c r="N1840" s="1544"/>
      <c r="O1840" s="1544"/>
    </row>
    <row r="1841" spans="8:15">
      <c r="H1841" s="1543" t="s">
        <v>5149</v>
      </c>
      <c r="I1841" s="1544" t="s">
        <v>513</v>
      </c>
      <c r="J1841" s="1544" t="s">
        <v>5150</v>
      </c>
      <c r="K1841" s="1544"/>
      <c r="L1841" s="1544"/>
      <c r="M1841" s="1544"/>
      <c r="N1841" s="1544"/>
      <c r="O1841" s="1544"/>
    </row>
    <row r="1842" spans="8:15">
      <c r="H1842" s="1543" t="s">
        <v>5151</v>
      </c>
      <c r="I1842" s="1544" t="s">
        <v>513</v>
      </c>
      <c r="J1842" s="1544" t="s">
        <v>5152</v>
      </c>
      <c r="K1842" s="1544"/>
      <c r="L1842" s="1544"/>
      <c r="M1842" s="1544"/>
      <c r="N1842" s="1544"/>
      <c r="O1842" s="1544"/>
    </row>
    <row r="1843" spans="8:15">
      <c r="H1843" s="1543" t="s">
        <v>5153</v>
      </c>
      <c r="I1843" s="1544" t="s">
        <v>513</v>
      </c>
      <c r="J1843" s="1544" t="s">
        <v>5154</v>
      </c>
      <c r="K1843" s="1544"/>
      <c r="L1843" s="1544"/>
      <c r="M1843" s="1544"/>
      <c r="N1843" s="1544"/>
      <c r="O1843" s="1544"/>
    </row>
    <row r="1844" spans="8:15">
      <c r="H1844" s="1543" t="s">
        <v>5155</v>
      </c>
      <c r="I1844" s="1544" t="s">
        <v>513</v>
      </c>
      <c r="J1844" s="1544" t="s">
        <v>5156</v>
      </c>
      <c r="K1844" s="1544"/>
      <c r="L1844" s="1544"/>
      <c r="M1844" s="1544"/>
      <c r="N1844" s="1544"/>
      <c r="O1844" s="1544"/>
    </row>
    <row r="1845" spans="8:15">
      <c r="H1845" s="1543" t="s">
        <v>5157</v>
      </c>
      <c r="I1845" s="1544" t="s">
        <v>513</v>
      </c>
      <c r="J1845" s="1544" t="s">
        <v>5158</v>
      </c>
      <c r="K1845" s="1544"/>
      <c r="L1845" s="1544"/>
      <c r="M1845" s="1544"/>
      <c r="N1845" s="1544"/>
      <c r="O1845" s="1544"/>
    </row>
    <row r="1846" spans="8:15">
      <c r="H1846" s="1543" t="s">
        <v>5159</v>
      </c>
      <c r="I1846" s="1544" t="s">
        <v>513</v>
      </c>
      <c r="J1846" s="1544" t="s">
        <v>5160</v>
      </c>
      <c r="K1846" s="1544"/>
      <c r="L1846" s="1544"/>
      <c r="M1846" s="1544"/>
      <c r="N1846" s="1544"/>
      <c r="O1846" s="1544"/>
    </row>
    <row r="1847" spans="8:15">
      <c r="H1847" s="1543" t="s">
        <v>5161</v>
      </c>
      <c r="I1847" s="1544" t="s">
        <v>513</v>
      </c>
      <c r="J1847" s="1544" t="s">
        <v>5162</v>
      </c>
      <c r="K1847" s="1544"/>
      <c r="L1847" s="1544"/>
      <c r="M1847" s="1544"/>
      <c r="N1847" s="1544"/>
      <c r="O1847" s="1544"/>
    </row>
    <row r="1848" spans="8:15">
      <c r="H1848" s="1543" t="s">
        <v>5163</v>
      </c>
      <c r="I1848" s="1544" t="s">
        <v>513</v>
      </c>
      <c r="J1848" s="1544" t="s">
        <v>5164</v>
      </c>
      <c r="K1848" s="1544"/>
      <c r="L1848" s="1544"/>
      <c r="M1848" s="1544"/>
      <c r="N1848" s="1544"/>
      <c r="O1848" s="1544"/>
    </row>
    <row r="1849" spans="8:15">
      <c r="H1849" s="1543" t="s">
        <v>5165</v>
      </c>
      <c r="I1849" s="1544" t="s">
        <v>513</v>
      </c>
      <c r="J1849" s="1544" t="s">
        <v>5166</v>
      </c>
      <c r="K1849" s="1544"/>
      <c r="L1849" s="1544"/>
      <c r="M1849" s="1544"/>
      <c r="N1849" s="1544"/>
      <c r="O1849" s="1544"/>
    </row>
    <row r="1850" spans="8:15">
      <c r="H1850" s="1543" t="s">
        <v>5167</v>
      </c>
      <c r="I1850" s="1544" t="s">
        <v>513</v>
      </c>
      <c r="J1850" s="1544" t="s">
        <v>5168</v>
      </c>
      <c r="K1850" s="1544"/>
      <c r="L1850" s="1544"/>
      <c r="M1850" s="1544"/>
      <c r="N1850" s="1544"/>
      <c r="O1850" s="1544"/>
    </row>
    <row r="1851" spans="8:15">
      <c r="H1851" s="1543" t="s">
        <v>5169</v>
      </c>
      <c r="I1851" s="1544" t="s">
        <v>513</v>
      </c>
      <c r="J1851" s="1544" t="s">
        <v>5170</v>
      </c>
      <c r="K1851" s="1544"/>
      <c r="L1851" s="1544"/>
      <c r="M1851" s="1544"/>
      <c r="N1851" s="1544"/>
      <c r="O1851" s="1544"/>
    </row>
    <row r="1852" spans="8:15">
      <c r="H1852" s="1543" t="s">
        <v>5171</v>
      </c>
      <c r="I1852" s="1544" t="s">
        <v>513</v>
      </c>
      <c r="J1852" s="1544" t="s">
        <v>5172</v>
      </c>
      <c r="K1852" s="1544"/>
      <c r="L1852" s="1544"/>
      <c r="M1852" s="1544"/>
      <c r="N1852" s="1544"/>
      <c r="O1852" s="1544"/>
    </row>
    <row r="1853" spans="8:15">
      <c r="H1853" s="1543" t="s">
        <v>5173</v>
      </c>
      <c r="I1853" s="1544" t="s">
        <v>513</v>
      </c>
      <c r="J1853" s="1544" t="s">
        <v>5174</v>
      </c>
      <c r="K1853" s="1544"/>
      <c r="L1853" s="1544"/>
      <c r="M1853" s="1544"/>
      <c r="N1853" s="1544"/>
      <c r="O1853" s="1544"/>
    </row>
    <row r="1854" spans="8:15">
      <c r="H1854" s="1543" t="s">
        <v>5175</v>
      </c>
      <c r="I1854" s="1544" t="s">
        <v>513</v>
      </c>
      <c r="J1854" s="1544" t="s">
        <v>5176</v>
      </c>
      <c r="K1854" s="1544"/>
      <c r="L1854" s="1544"/>
      <c r="M1854" s="1544"/>
      <c r="N1854" s="1544"/>
      <c r="O1854" s="1544"/>
    </row>
    <row r="1855" spans="8:15">
      <c r="H1855" s="1543" t="s">
        <v>5177</v>
      </c>
      <c r="I1855" s="1544" t="s">
        <v>513</v>
      </c>
      <c r="J1855" s="1544" t="s">
        <v>5178</v>
      </c>
      <c r="K1855" s="1544"/>
      <c r="L1855" s="1544"/>
      <c r="M1855" s="1544"/>
      <c r="N1855" s="1544"/>
      <c r="O1855" s="1544"/>
    </row>
    <row r="1856" spans="8:15">
      <c r="H1856" s="1543" t="s">
        <v>5179</v>
      </c>
      <c r="I1856" s="1544" t="s">
        <v>513</v>
      </c>
      <c r="J1856" s="1544" t="s">
        <v>5180</v>
      </c>
      <c r="K1856" s="1544"/>
      <c r="L1856" s="1544"/>
      <c r="M1856" s="1544"/>
      <c r="N1856" s="1544"/>
      <c r="O1856" s="1544"/>
    </row>
    <row r="1857" spans="8:15">
      <c r="H1857" s="1543" t="s">
        <v>5181</v>
      </c>
      <c r="I1857" s="1544" t="s">
        <v>513</v>
      </c>
      <c r="J1857" s="1544" t="s">
        <v>5182</v>
      </c>
      <c r="K1857" s="1544"/>
      <c r="L1857" s="1544"/>
      <c r="M1857" s="1544"/>
      <c r="N1857" s="1544"/>
      <c r="O1857" s="1544"/>
    </row>
    <row r="1858" spans="8:15">
      <c r="H1858" s="1543" t="s">
        <v>5183</v>
      </c>
      <c r="I1858" s="1544" t="s">
        <v>513</v>
      </c>
      <c r="J1858" s="1544" t="s">
        <v>5184</v>
      </c>
      <c r="K1858" s="1544"/>
      <c r="L1858" s="1544"/>
      <c r="M1858" s="1544"/>
      <c r="N1858" s="1544"/>
      <c r="O1858" s="1544"/>
    </row>
    <row r="1859" spans="8:15">
      <c r="H1859" s="1543" t="s">
        <v>5185</v>
      </c>
      <c r="I1859" s="1544" t="s">
        <v>513</v>
      </c>
      <c r="J1859" s="1544" t="s">
        <v>5186</v>
      </c>
      <c r="K1859" s="1544"/>
      <c r="L1859" s="1544"/>
      <c r="M1859" s="1544"/>
      <c r="N1859" s="1544"/>
      <c r="O1859" s="1544"/>
    </row>
    <row r="1860" spans="8:15">
      <c r="H1860" s="1543" t="s">
        <v>5187</v>
      </c>
      <c r="I1860" s="1544" t="s">
        <v>513</v>
      </c>
      <c r="J1860" s="1544" t="s">
        <v>5188</v>
      </c>
      <c r="K1860" s="1544"/>
      <c r="L1860" s="1544"/>
      <c r="M1860" s="1544"/>
      <c r="N1860" s="1544"/>
      <c r="O1860" s="1544"/>
    </row>
    <row r="1861" spans="8:15">
      <c r="H1861" s="1543" t="s">
        <v>5189</v>
      </c>
      <c r="I1861" s="1544" t="s">
        <v>513</v>
      </c>
      <c r="J1861" s="1544" t="s">
        <v>5190</v>
      </c>
      <c r="K1861" s="1544"/>
      <c r="L1861" s="1544"/>
      <c r="M1861" s="1544"/>
      <c r="N1861" s="1544"/>
      <c r="O1861" s="1544"/>
    </row>
    <row r="1862" spans="8:15">
      <c r="H1862" s="1543" t="s">
        <v>5191</v>
      </c>
      <c r="I1862" s="1544" t="s">
        <v>513</v>
      </c>
      <c r="J1862" s="1544" t="s">
        <v>5192</v>
      </c>
      <c r="K1862" s="1544"/>
      <c r="L1862" s="1544"/>
      <c r="M1862" s="1544"/>
      <c r="N1862" s="1544"/>
      <c r="O1862" s="1544"/>
    </row>
    <row r="1863" spans="8:15">
      <c r="H1863" s="1543" t="s">
        <v>5193</v>
      </c>
      <c r="I1863" s="1544" t="s">
        <v>513</v>
      </c>
      <c r="J1863" s="1544" t="s">
        <v>5194</v>
      </c>
      <c r="K1863" s="1544"/>
      <c r="L1863" s="1544"/>
      <c r="M1863" s="1544"/>
      <c r="N1863" s="1544"/>
      <c r="O1863" s="1544"/>
    </row>
    <row r="1864" spans="8:15">
      <c r="H1864" s="1543" t="s">
        <v>5195</v>
      </c>
      <c r="I1864" s="1544" t="s">
        <v>513</v>
      </c>
      <c r="J1864" s="1544" t="s">
        <v>5196</v>
      </c>
      <c r="K1864" s="1544"/>
      <c r="L1864" s="1544"/>
      <c r="M1864" s="1544"/>
      <c r="N1864" s="1544"/>
      <c r="O1864" s="1544"/>
    </row>
    <row r="1865" spans="8:15">
      <c r="H1865" s="1543" t="s">
        <v>5197</v>
      </c>
      <c r="I1865" s="1544" t="s">
        <v>513</v>
      </c>
      <c r="J1865" s="1544" t="s">
        <v>5198</v>
      </c>
      <c r="K1865" s="1544"/>
      <c r="L1865" s="1544"/>
      <c r="M1865" s="1544"/>
      <c r="N1865" s="1544"/>
      <c r="O1865" s="1544"/>
    </row>
    <row r="1866" spans="8:15">
      <c r="H1866" s="1543" t="s">
        <v>5199</v>
      </c>
      <c r="I1866" s="1544" t="s">
        <v>513</v>
      </c>
      <c r="J1866" s="1544" t="s">
        <v>5200</v>
      </c>
      <c r="K1866" s="1544"/>
      <c r="L1866" s="1544"/>
      <c r="M1866" s="1544"/>
      <c r="N1866" s="1544"/>
      <c r="O1866" s="1544"/>
    </row>
    <row r="1867" spans="8:15">
      <c r="H1867" s="1543" t="s">
        <v>5201</v>
      </c>
      <c r="I1867" s="1544" t="s">
        <v>513</v>
      </c>
      <c r="J1867" s="1544" t="s">
        <v>5202</v>
      </c>
      <c r="K1867" s="1544"/>
      <c r="L1867" s="1544"/>
      <c r="M1867" s="1544"/>
      <c r="N1867" s="1544"/>
      <c r="O1867" s="1544"/>
    </row>
    <row r="1868" spans="8:15">
      <c r="H1868" s="1543" t="s">
        <v>5203</v>
      </c>
      <c r="I1868" s="1544" t="s">
        <v>2128</v>
      </c>
      <c r="J1868" s="1544"/>
      <c r="K1868" s="1544">
        <f>ROW()</f>
        <v>1868</v>
      </c>
      <c r="L1868" s="1544">
        <f>K1868+COUNTIF($I$122:$I$1909,I1868)-1</f>
        <v>1909</v>
      </c>
      <c r="M1868" s="1544"/>
      <c r="N1868" s="1544"/>
      <c r="O1868" s="1544"/>
    </row>
    <row r="1869" spans="8:15">
      <c r="H1869" s="1543" t="s">
        <v>1357</v>
      </c>
      <c r="I1869" s="1544" t="s">
        <v>2128</v>
      </c>
      <c r="J1869" s="1544" t="s">
        <v>1356</v>
      </c>
      <c r="K1869" s="1544"/>
      <c r="L1869" s="1544"/>
      <c r="M1869" s="1544"/>
      <c r="N1869" s="1544"/>
      <c r="O1869" s="1544"/>
    </row>
    <row r="1870" spans="8:15">
      <c r="H1870" s="1543" t="s">
        <v>5204</v>
      </c>
      <c r="I1870" s="1544" t="s">
        <v>2128</v>
      </c>
      <c r="J1870" s="1544" t="s">
        <v>5205</v>
      </c>
      <c r="K1870" s="1544"/>
      <c r="L1870" s="1544"/>
      <c r="M1870" s="1544"/>
      <c r="N1870" s="1544"/>
      <c r="O1870" s="1544"/>
    </row>
    <row r="1871" spans="8:15">
      <c r="H1871" s="1543" t="s">
        <v>5206</v>
      </c>
      <c r="I1871" s="1544" t="s">
        <v>2128</v>
      </c>
      <c r="J1871" s="1544" t="s">
        <v>5207</v>
      </c>
      <c r="K1871" s="1544"/>
      <c r="L1871" s="1544"/>
      <c r="M1871" s="1544"/>
      <c r="N1871" s="1544"/>
      <c r="O1871" s="1544"/>
    </row>
    <row r="1872" spans="8:15">
      <c r="H1872" s="1543" t="s">
        <v>5208</v>
      </c>
      <c r="I1872" s="1544" t="s">
        <v>2128</v>
      </c>
      <c r="J1872" s="1544" t="s">
        <v>5209</v>
      </c>
      <c r="K1872" s="1544"/>
      <c r="L1872" s="1544"/>
      <c r="M1872" s="1544"/>
      <c r="N1872" s="1544"/>
      <c r="O1872" s="1544"/>
    </row>
    <row r="1873" spans="8:15">
      <c r="H1873" s="1543" t="s">
        <v>5210</v>
      </c>
      <c r="I1873" s="1544" t="s">
        <v>2128</v>
      </c>
      <c r="J1873" s="1544" t="s">
        <v>5211</v>
      </c>
      <c r="K1873" s="1544"/>
      <c r="L1873" s="1544"/>
      <c r="M1873" s="1544"/>
      <c r="N1873" s="1544"/>
      <c r="O1873" s="1544"/>
    </row>
    <row r="1874" spans="8:15">
      <c r="H1874" s="1543" t="s">
        <v>5212</v>
      </c>
      <c r="I1874" s="1544" t="s">
        <v>2128</v>
      </c>
      <c r="J1874" s="1544" t="s">
        <v>5213</v>
      </c>
      <c r="K1874" s="1544"/>
      <c r="L1874" s="1544"/>
      <c r="M1874" s="1544"/>
      <c r="N1874" s="1544"/>
      <c r="O1874" s="1544"/>
    </row>
    <row r="1875" spans="8:15">
      <c r="H1875" s="1543" t="s">
        <v>5214</v>
      </c>
      <c r="I1875" s="1544" t="s">
        <v>2128</v>
      </c>
      <c r="J1875" s="1544" t="s">
        <v>5215</v>
      </c>
      <c r="K1875" s="1544"/>
      <c r="L1875" s="1544"/>
      <c r="M1875" s="1544"/>
      <c r="N1875" s="1544"/>
      <c r="O1875" s="1544"/>
    </row>
    <row r="1876" spans="8:15">
      <c r="H1876" s="1543" t="s">
        <v>5216</v>
      </c>
      <c r="I1876" s="1544" t="s">
        <v>2128</v>
      </c>
      <c r="J1876" s="1544" t="s">
        <v>5217</v>
      </c>
      <c r="K1876" s="1544"/>
      <c r="L1876" s="1544"/>
      <c r="M1876" s="1544"/>
      <c r="N1876" s="1544"/>
      <c r="O1876" s="1544"/>
    </row>
    <row r="1877" spans="8:15">
      <c r="H1877" s="1543" t="s">
        <v>5218</v>
      </c>
      <c r="I1877" s="1544" t="s">
        <v>2128</v>
      </c>
      <c r="J1877" s="1544" t="s">
        <v>5219</v>
      </c>
      <c r="K1877" s="1544"/>
      <c r="L1877" s="1544"/>
      <c r="M1877" s="1544"/>
      <c r="N1877" s="1544"/>
      <c r="O1877" s="1544"/>
    </row>
    <row r="1878" spans="8:15">
      <c r="H1878" s="1543" t="s">
        <v>5220</v>
      </c>
      <c r="I1878" s="1544" t="s">
        <v>2128</v>
      </c>
      <c r="J1878" s="1544" t="s">
        <v>5221</v>
      </c>
      <c r="K1878" s="1544"/>
      <c r="L1878" s="1544"/>
      <c r="M1878" s="1544"/>
      <c r="N1878" s="1544"/>
      <c r="O1878" s="1544"/>
    </row>
    <row r="1879" spans="8:15">
      <c r="H1879" s="1543" t="s">
        <v>5222</v>
      </c>
      <c r="I1879" s="1544" t="s">
        <v>2128</v>
      </c>
      <c r="J1879" s="1544" t="s">
        <v>5223</v>
      </c>
      <c r="K1879" s="1544"/>
      <c r="L1879" s="1544"/>
      <c r="M1879" s="1544"/>
      <c r="N1879" s="1544"/>
      <c r="O1879" s="1544"/>
    </row>
    <row r="1880" spans="8:15">
      <c r="H1880" s="1543" t="s">
        <v>5224</v>
      </c>
      <c r="I1880" s="1544" t="s">
        <v>2128</v>
      </c>
      <c r="J1880" s="1544" t="s">
        <v>5225</v>
      </c>
      <c r="K1880" s="1544"/>
      <c r="L1880" s="1544"/>
      <c r="M1880" s="1544"/>
      <c r="N1880" s="1544"/>
      <c r="O1880" s="1544"/>
    </row>
    <row r="1881" spans="8:15">
      <c r="H1881" s="1543" t="s">
        <v>5226</v>
      </c>
      <c r="I1881" s="1544" t="s">
        <v>2128</v>
      </c>
      <c r="J1881" s="1544" t="s">
        <v>5227</v>
      </c>
      <c r="K1881" s="1544"/>
      <c r="L1881" s="1544"/>
      <c r="M1881" s="1544"/>
      <c r="N1881" s="1544"/>
      <c r="O1881" s="1544"/>
    </row>
    <row r="1882" spans="8:15">
      <c r="H1882" s="1543" t="s">
        <v>5228</v>
      </c>
      <c r="I1882" s="1544" t="s">
        <v>2128</v>
      </c>
      <c r="J1882" s="1544" t="s">
        <v>5229</v>
      </c>
      <c r="K1882" s="1544"/>
      <c r="L1882" s="1544"/>
      <c r="M1882" s="1544"/>
      <c r="N1882" s="1544"/>
      <c r="O1882" s="1544"/>
    </row>
    <row r="1883" spans="8:15">
      <c r="H1883" s="1543" t="s">
        <v>5230</v>
      </c>
      <c r="I1883" s="1544" t="s">
        <v>2128</v>
      </c>
      <c r="J1883" s="1544" t="s">
        <v>5231</v>
      </c>
      <c r="K1883" s="1544"/>
      <c r="L1883" s="1544"/>
      <c r="M1883" s="1544"/>
      <c r="N1883" s="1544"/>
      <c r="O1883" s="1544"/>
    </row>
    <row r="1884" spans="8:15">
      <c r="H1884" s="1543" t="s">
        <v>5232</v>
      </c>
      <c r="I1884" s="1544" t="s">
        <v>2128</v>
      </c>
      <c r="J1884" s="1544" t="s">
        <v>5233</v>
      </c>
      <c r="K1884" s="1544"/>
      <c r="L1884" s="1544"/>
      <c r="M1884" s="1544"/>
      <c r="N1884" s="1544"/>
      <c r="O1884" s="1544"/>
    </row>
    <row r="1885" spans="8:15">
      <c r="H1885" s="1543" t="s">
        <v>5234</v>
      </c>
      <c r="I1885" s="1544" t="s">
        <v>2128</v>
      </c>
      <c r="J1885" s="1544" t="s">
        <v>5235</v>
      </c>
      <c r="K1885" s="1544"/>
      <c r="L1885" s="1544"/>
      <c r="M1885" s="1544"/>
      <c r="N1885" s="1544"/>
      <c r="O1885" s="1544"/>
    </row>
    <row r="1886" spans="8:15">
      <c r="H1886" s="1543" t="s">
        <v>5236</v>
      </c>
      <c r="I1886" s="1544" t="s">
        <v>2128</v>
      </c>
      <c r="J1886" s="1544" t="s">
        <v>5237</v>
      </c>
      <c r="K1886" s="1544"/>
      <c r="L1886" s="1544"/>
      <c r="M1886" s="1544"/>
      <c r="N1886" s="1544"/>
      <c r="O1886" s="1544"/>
    </row>
    <row r="1887" spans="8:15">
      <c r="H1887" s="1543" t="s">
        <v>5238</v>
      </c>
      <c r="I1887" s="1544" t="s">
        <v>2128</v>
      </c>
      <c r="J1887" s="1544" t="s">
        <v>5239</v>
      </c>
      <c r="K1887" s="1544"/>
      <c r="L1887" s="1544"/>
      <c r="M1887" s="1544"/>
      <c r="N1887" s="1544"/>
      <c r="O1887" s="1544"/>
    </row>
    <row r="1888" spans="8:15">
      <c r="H1888" s="1543" t="s">
        <v>5240</v>
      </c>
      <c r="I1888" s="1544" t="s">
        <v>2128</v>
      </c>
      <c r="J1888" s="1544" t="s">
        <v>5241</v>
      </c>
      <c r="K1888" s="1544"/>
      <c r="L1888" s="1544"/>
      <c r="M1888" s="1544"/>
      <c r="N1888" s="1544"/>
      <c r="O1888" s="1544"/>
    </row>
    <row r="1889" spans="8:15">
      <c r="H1889" s="1543" t="s">
        <v>5242</v>
      </c>
      <c r="I1889" s="1544" t="s">
        <v>2128</v>
      </c>
      <c r="J1889" s="1544" t="s">
        <v>5243</v>
      </c>
      <c r="K1889" s="1544"/>
      <c r="L1889" s="1544"/>
      <c r="M1889" s="1544"/>
      <c r="N1889" s="1544"/>
      <c r="O1889" s="1544"/>
    </row>
    <row r="1890" spans="8:15">
      <c r="H1890" s="1543" t="s">
        <v>5244</v>
      </c>
      <c r="I1890" s="1544" t="s">
        <v>2128</v>
      </c>
      <c r="J1890" s="1544" t="s">
        <v>5245</v>
      </c>
      <c r="K1890" s="1544"/>
      <c r="L1890" s="1544"/>
      <c r="M1890" s="1544"/>
      <c r="N1890" s="1544"/>
      <c r="O1890" s="1544"/>
    </row>
    <row r="1891" spans="8:15">
      <c r="H1891" s="1543" t="s">
        <v>5246</v>
      </c>
      <c r="I1891" s="1544" t="s">
        <v>2128</v>
      </c>
      <c r="J1891" s="1544" t="s">
        <v>5247</v>
      </c>
      <c r="K1891" s="1544"/>
      <c r="L1891" s="1544"/>
      <c r="M1891" s="1544"/>
      <c r="N1891" s="1544"/>
      <c r="O1891" s="1544"/>
    </row>
    <row r="1892" spans="8:15">
      <c r="H1892" s="1543" t="s">
        <v>5248</v>
      </c>
      <c r="I1892" s="1544" t="s">
        <v>2128</v>
      </c>
      <c r="J1892" s="1544" t="s">
        <v>5249</v>
      </c>
      <c r="K1892" s="1544"/>
      <c r="L1892" s="1544"/>
      <c r="M1892" s="1544"/>
      <c r="N1892" s="1544"/>
      <c r="O1892" s="1544"/>
    </row>
    <row r="1893" spans="8:15">
      <c r="H1893" s="1543" t="s">
        <v>5250</v>
      </c>
      <c r="I1893" s="1544" t="s">
        <v>2128</v>
      </c>
      <c r="J1893" s="1544" t="s">
        <v>5251</v>
      </c>
      <c r="K1893" s="1544"/>
      <c r="L1893" s="1544"/>
      <c r="M1893" s="1544"/>
      <c r="N1893" s="1544"/>
      <c r="O1893" s="1544"/>
    </row>
    <row r="1894" spans="8:15">
      <c r="H1894" s="1543" t="s">
        <v>5252</v>
      </c>
      <c r="I1894" s="1544" t="s">
        <v>2128</v>
      </c>
      <c r="J1894" s="1544" t="s">
        <v>5253</v>
      </c>
      <c r="K1894" s="1544"/>
      <c r="L1894" s="1544"/>
      <c r="M1894" s="1544"/>
      <c r="N1894" s="1544"/>
      <c r="O1894" s="1544"/>
    </row>
    <row r="1895" spans="8:15">
      <c r="H1895" s="1543" t="s">
        <v>5254</v>
      </c>
      <c r="I1895" s="1544" t="s">
        <v>2128</v>
      </c>
      <c r="J1895" s="1544" t="s">
        <v>5255</v>
      </c>
      <c r="K1895" s="1544"/>
      <c r="L1895" s="1544"/>
      <c r="M1895" s="1544"/>
      <c r="N1895" s="1544"/>
      <c r="O1895" s="1544"/>
    </row>
    <row r="1896" spans="8:15">
      <c r="H1896" s="1543" t="s">
        <v>5256</v>
      </c>
      <c r="I1896" s="1544" t="s">
        <v>2128</v>
      </c>
      <c r="J1896" s="1544" t="s">
        <v>5257</v>
      </c>
      <c r="K1896" s="1544"/>
      <c r="L1896" s="1544"/>
      <c r="M1896" s="1544"/>
      <c r="N1896" s="1544"/>
      <c r="O1896" s="1544"/>
    </row>
    <row r="1897" spans="8:15">
      <c r="H1897" s="1543" t="s">
        <v>5258</v>
      </c>
      <c r="I1897" s="1544" t="s">
        <v>2128</v>
      </c>
      <c r="J1897" s="1544" t="s">
        <v>5259</v>
      </c>
      <c r="K1897" s="1544"/>
      <c r="L1897" s="1544"/>
      <c r="M1897" s="1544"/>
      <c r="N1897" s="1544"/>
      <c r="O1897" s="1544"/>
    </row>
    <row r="1898" spans="8:15">
      <c r="H1898" s="1543" t="s">
        <v>5260</v>
      </c>
      <c r="I1898" s="1544" t="s">
        <v>2128</v>
      </c>
      <c r="J1898" s="1544" t="s">
        <v>5261</v>
      </c>
      <c r="K1898" s="1544"/>
      <c r="L1898" s="1544"/>
      <c r="M1898" s="1544"/>
      <c r="N1898" s="1544"/>
      <c r="O1898" s="1544"/>
    </row>
    <row r="1899" spans="8:15">
      <c r="H1899" s="1543" t="s">
        <v>5262</v>
      </c>
      <c r="I1899" s="1544" t="s">
        <v>2128</v>
      </c>
      <c r="J1899" s="1544" t="s">
        <v>5263</v>
      </c>
      <c r="K1899" s="1544"/>
      <c r="L1899" s="1544"/>
      <c r="M1899" s="1544"/>
      <c r="N1899" s="1544"/>
      <c r="O1899" s="1544"/>
    </row>
    <row r="1900" spans="8:15">
      <c r="H1900" s="1543" t="s">
        <v>5264</v>
      </c>
      <c r="I1900" s="1544" t="s">
        <v>2128</v>
      </c>
      <c r="J1900" s="1544" t="s">
        <v>5265</v>
      </c>
      <c r="K1900" s="1544"/>
      <c r="L1900" s="1544"/>
      <c r="M1900" s="1544"/>
      <c r="N1900" s="1544"/>
      <c r="O1900" s="1544"/>
    </row>
    <row r="1901" spans="8:15">
      <c r="H1901" s="1543" t="s">
        <v>5266</v>
      </c>
      <c r="I1901" s="1544" t="s">
        <v>2128</v>
      </c>
      <c r="J1901" s="1544" t="s">
        <v>5267</v>
      </c>
      <c r="K1901" s="1544"/>
      <c r="L1901" s="1544"/>
      <c r="M1901" s="1544"/>
      <c r="N1901" s="1544"/>
      <c r="O1901" s="1544"/>
    </row>
    <row r="1902" spans="8:15">
      <c r="H1902" s="1543" t="s">
        <v>5268</v>
      </c>
      <c r="I1902" s="1544" t="s">
        <v>2128</v>
      </c>
      <c r="J1902" s="1544" t="s">
        <v>5269</v>
      </c>
      <c r="K1902" s="1544"/>
      <c r="L1902" s="1544"/>
      <c r="M1902" s="1544"/>
      <c r="N1902" s="1544"/>
      <c r="O1902" s="1544"/>
    </row>
    <row r="1903" spans="8:15">
      <c r="H1903" s="1543" t="s">
        <v>5270</v>
      </c>
      <c r="I1903" s="1544" t="s">
        <v>2128</v>
      </c>
      <c r="J1903" s="1544" t="s">
        <v>5271</v>
      </c>
      <c r="K1903" s="1544"/>
      <c r="L1903" s="1544"/>
      <c r="M1903" s="1544"/>
      <c r="N1903" s="1544"/>
      <c r="O1903" s="1544"/>
    </row>
    <row r="1904" spans="8:15">
      <c r="H1904" s="1543" t="s">
        <v>5272</v>
      </c>
      <c r="I1904" s="1544" t="s">
        <v>2128</v>
      </c>
      <c r="J1904" s="1544" t="s">
        <v>5273</v>
      </c>
      <c r="K1904" s="1544"/>
      <c r="L1904" s="1544"/>
      <c r="M1904" s="1544"/>
      <c r="N1904" s="1544"/>
      <c r="O1904" s="1544"/>
    </row>
    <row r="1905" spans="8:15">
      <c r="H1905" s="1543" t="s">
        <v>5274</v>
      </c>
      <c r="I1905" s="1544" t="s">
        <v>2128</v>
      </c>
      <c r="J1905" s="1544" t="s">
        <v>5275</v>
      </c>
      <c r="K1905" s="1544"/>
      <c r="L1905" s="1544"/>
      <c r="M1905" s="1544"/>
      <c r="N1905" s="1544"/>
      <c r="O1905" s="1544"/>
    </row>
    <row r="1906" spans="8:15">
      <c r="H1906" s="1543" t="s">
        <v>5276</v>
      </c>
      <c r="I1906" s="1544" t="s">
        <v>2128</v>
      </c>
      <c r="J1906" s="1544" t="s">
        <v>5277</v>
      </c>
      <c r="K1906" s="1544"/>
      <c r="L1906" s="1544"/>
      <c r="M1906" s="1544"/>
      <c r="N1906" s="1544"/>
      <c r="O1906" s="1544"/>
    </row>
    <row r="1907" spans="8:15">
      <c r="H1907" s="1543" t="s">
        <v>5278</v>
      </c>
      <c r="I1907" s="1544" t="s">
        <v>2128</v>
      </c>
      <c r="J1907" s="1544" t="s">
        <v>5279</v>
      </c>
      <c r="K1907" s="1544"/>
      <c r="L1907" s="1544"/>
      <c r="M1907" s="1544"/>
      <c r="N1907" s="1544"/>
      <c r="O1907" s="1544"/>
    </row>
    <row r="1908" spans="8:15">
      <c r="H1908" s="1543" t="s">
        <v>5280</v>
      </c>
      <c r="I1908" s="1544" t="s">
        <v>2128</v>
      </c>
      <c r="J1908" s="1544" t="s">
        <v>5281</v>
      </c>
      <c r="K1908" s="1544"/>
      <c r="L1908" s="1544"/>
      <c r="M1908" s="1544"/>
      <c r="N1908" s="1544"/>
      <c r="O1908" s="1544"/>
    </row>
    <row r="1909" spans="8:15">
      <c r="H1909" s="1543" t="s">
        <v>5282</v>
      </c>
      <c r="I1909" s="1544" t="s">
        <v>2128</v>
      </c>
      <c r="J1909" s="1544" t="s">
        <v>5283</v>
      </c>
      <c r="K1909" s="1544"/>
      <c r="L1909" s="1544"/>
      <c r="M1909" s="1544"/>
      <c r="N1909" s="1544"/>
      <c r="O1909" s="1544"/>
    </row>
  </sheetData>
  <sheetProtection algorithmName="SHA-512" hashValue="xI/E6MP6hkkrcjgtajtRSNIzRcO44C3ulMzZnzsuaZKZhvqMMntngKPAsHSH+JICRftgJu8GtsoyHNwgdBgV2A==" saltValue="fVWvEKhQ3mDHx3zCXCrzXg==" spinCount="100000" sheet="1" objects="1" scenarios="1"/>
  <mergeCells count="7">
    <mergeCell ref="G25:G27"/>
    <mergeCell ref="E3:F3"/>
    <mergeCell ref="D25:D27"/>
    <mergeCell ref="E25:E27"/>
    <mergeCell ref="F25:F27"/>
    <mergeCell ref="B3:D3"/>
    <mergeCell ref="C5:D5"/>
  </mergeCells>
  <phoneticPr fontId="4"/>
  <conditionalFormatting sqref="G72">
    <cfRule type="cellIs" dxfId="13" priority="3" stopIfTrue="1" operator="equal">
      <formula>"仮設営繕物貸与・敷地貸与補正の有無欄で「補正有り」を選択してください。"</formula>
    </cfRule>
    <cfRule type="cellIs" dxfId="12" priority="4" stopIfTrue="1" operator="equal">
      <formula>"高速道路以外の場合は入力しないでください。"</formula>
    </cfRule>
  </conditionalFormatting>
  <dataValidations xWindow="651" yWindow="390" count="20">
    <dataValidation type="list" allowBlank="1" showInputMessage="1" showErrorMessage="1" promptTitle="地域特性コード" prompt="リストから選択してください。_x000a_マニュアル参照" sqref="F19" xr:uid="{00000000-0002-0000-0200-000000000000}">
      <formula1>地域特性</formula1>
    </dataValidation>
    <dataValidation type="list" allowBlank="1" showInputMessage="1" showErrorMessage="1" promptTitle="工種コード" prompt="リストから選択してください。_x000a_マニュアル参照" sqref="F20" xr:uid="{00000000-0002-0000-0200-000001000000}">
      <formula1>工種</formula1>
    </dataValidation>
    <dataValidation type="list" allowBlank="1" showInputMessage="1" showErrorMessage="1" promptTitle="施工場所コード" prompt="リストから選択してください。_x000a_マニュアル参照" sqref="F21" xr:uid="{00000000-0002-0000-0200-000002000000}">
      <formula1>施工場所コード</formula1>
    </dataValidation>
    <dataValidation type="list" allowBlank="1" showInputMessage="1" showErrorMessage="1" sqref="F35" xr:uid="{00000000-0002-0000-0200-000003000000}">
      <formula1>INDIRECT($H$24)</formula1>
    </dataValidation>
    <dataValidation type="custom" allowBlank="1" showInputMessage="1" showErrorMessage="1" sqref="F10:F16 F5" xr:uid="{00000000-0002-0000-0200-000004000000}">
      <formula1>TRIM(F5)&lt;&gt;""</formula1>
    </dataValidation>
    <dataValidation type="custom" operator="greaterThanOrEqual" allowBlank="1" showInputMessage="1" showErrorMessage="1" sqref="F22:F23" xr:uid="{00000000-0002-0000-0200-000005000000}">
      <formula1>TRIM(F22)&lt;&gt;""</formula1>
    </dataValidation>
    <dataValidation type="list" allowBlank="1" showInputMessage="1" showErrorMessage="1" sqref="F31" xr:uid="{00000000-0002-0000-0200-000006000000}">
      <formula1>$N$122:$N$169</formula1>
    </dataValidation>
    <dataValidation type="list" operator="greaterThanOrEqual" allowBlank="1" showInputMessage="1" showErrorMessage="1" sqref="F28" xr:uid="{00000000-0002-0000-0200-000007000000}">
      <formula1>舗装種別</formula1>
    </dataValidation>
    <dataValidation type="list" allowBlank="1" showInputMessage="1" showErrorMessage="1" sqref="F46" xr:uid="{00000000-0002-0000-0200-000008000000}">
      <formula1>積雪寒冷地補正</formula1>
    </dataValidation>
    <dataValidation type="list" allowBlank="1" showInputMessage="1" showErrorMessage="1" sqref="F51 F60:F66 F47" xr:uid="{00000000-0002-0000-0200-000009000000}">
      <formula1>スライドの有無</formula1>
    </dataValidation>
    <dataValidation type="list" allowBlank="1" showInputMessage="1" showErrorMessage="1" sqref="F57" xr:uid="{00000000-0002-0000-0200-00000A000000}">
      <formula1>情報共有システム_ＡＳＰのみ_使用の有無</formula1>
    </dataValidation>
    <dataValidation type="list" operator="greaterThanOrEqual" allowBlank="1" showInputMessage="1" showErrorMessage="1" sqref="F24" xr:uid="{00000000-0002-0000-0200-00000B000000}">
      <formula1>基準書</formula1>
    </dataValidation>
    <dataValidation type="list" allowBlank="1" showInputMessage="1" showErrorMessage="1" sqref="F36" xr:uid="{00000000-0002-0000-0200-00000C000000}">
      <formula1>復興補正_東日本</formula1>
    </dataValidation>
    <dataValidation type="list" allowBlank="1" showInputMessage="1" showErrorMessage="1" sqref="F37" xr:uid="{00000000-0002-0000-0200-00000D000000}">
      <formula1>復興補正_熊本</formula1>
    </dataValidation>
    <dataValidation type="list" allowBlank="1" showInputMessage="1" showErrorMessage="1" sqref="F38" xr:uid="{4EDB604F-BB57-480F-87B6-67E8BB1C2B75}">
      <formula1>復興補正_広島</formula1>
    </dataValidation>
    <dataValidation type="list" allowBlank="1" showInputMessage="1" showErrorMessage="1" sqref="F48" xr:uid="{A3AB0381-9824-414C-921E-DC2B6114FB7F}">
      <formula1>熱中症対策に資する現場管理費の補正の試行による補正</formula1>
    </dataValidation>
    <dataValidation type="list" allowBlank="1" showInputMessage="1" showErrorMessage="1" sqref="F54" xr:uid="{8399797C-1F41-47D1-A9F5-24B750E1D772}">
      <formula1>ICT活用工事</formula1>
    </dataValidation>
    <dataValidation type="list" allowBlank="1" showInputMessage="1" showErrorMessage="1" sqref="F32" xr:uid="{41AED8EA-6D26-4004-A661-07290768EA77}">
      <formula1>INDIRECT($O$120)</formula1>
    </dataValidation>
    <dataValidation type="list" allowBlank="1" showInputMessage="1" showErrorMessage="1" sqref="F69" xr:uid="{1A6BBCD7-BECF-41B4-AB9D-6BF46B5A2B18}">
      <formula1>有無</formula1>
    </dataValidation>
    <dataValidation type="list" allowBlank="1" showInputMessage="1" showErrorMessage="1" sqref="F39" xr:uid="{BCA74F7B-8659-4D36-A77A-3D389379CD65}">
      <formula1>除雪工事補正の有無</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indexed="44"/>
  </sheetPr>
  <dimension ref="A1:AD175"/>
  <sheetViews>
    <sheetView showGridLines="0" topLeftCell="A2" zoomScaleNormal="100" zoomScaleSheetLayoutView="85" workbookViewId="0"/>
  </sheetViews>
  <sheetFormatPr defaultRowHeight="13.5"/>
  <cols>
    <col min="1" max="1" width="3.25" style="3" customWidth="1"/>
    <col min="2" max="2" width="7.5" style="3" customWidth="1"/>
    <col min="3" max="3" width="5.25" style="3" customWidth="1"/>
    <col min="4" max="4" width="5.25" style="4" customWidth="1"/>
    <col min="5" max="5" width="4.75" style="4" customWidth="1"/>
    <col min="6" max="7" width="6.125" style="4" customWidth="1"/>
    <col min="8" max="8" width="33.875" style="4" customWidth="1"/>
    <col min="9" max="9" width="4.875" style="130" customWidth="1"/>
    <col min="10" max="10" width="16.25" style="4" bestFit="1" customWidth="1"/>
    <col min="11" max="11" width="23.125" style="73" customWidth="1"/>
    <col min="12" max="12" width="3.375" style="73" customWidth="1"/>
    <col min="13" max="13" width="19" style="73" customWidth="1"/>
    <col min="14" max="15" width="13" style="73" hidden="1" customWidth="1"/>
    <col min="16" max="16" width="12.125" style="73" hidden="1" customWidth="1"/>
    <col min="17" max="17" width="23.125" style="73" hidden="1" customWidth="1"/>
    <col min="18" max="21" width="14.625" style="73" hidden="1" customWidth="1"/>
    <col min="22" max="25" width="14.625" style="4" hidden="1" customWidth="1"/>
    <col min="26" max="26" width="12.375" style="4" hidden="1" customWidth="1"/>
    <col min="27" max="27" width="13.875" style="4" hidden="1" customWidth="1"/>
    <col min="28" max="28" width="14.5" style="4" hidden="1" customWidth="1"/>
    <col min="29" max="29" width="11.875" style="4" customWidth="1"/>
    <col min="30" max="30" width="14.5" style="4" customWidth="1"/>
    <col min="31" max="31" width="12.25" style="4" customWidth="1"/>
    <col min="32" max="33" width="7.75" style="4" customWidth="1"/>
    <col min="34" max="16384" width="9" style="4"/>
  </cols>
  <sheetData>
    <row r="1" spans="1:27" ht="19.5" hidden="1" customHeight="1">
      <c r="A1" s="604" t="s">
        <v>534</v>
      </c>
      <c r="B1" s="604">
        <f>COUNTIF($I$9:$I$66:I82:I91:I118:I119:I121:I160:L36:L38,"※")</f>
        <v>47</v>
      </c>
      <c r="C1" s="605" t="s">
        <v>535</v>
      </c>
      <c r="D1" s="604">
        <f>COUNTIF($I$9:$I$160:L36:L38,"E")</f>
        <v>0</v>
      </c>
      <c r="O1" s="646"/>
      <c r="P1" s="646"/>
      <c r="Q1" s="646"/>
      <c r="R1" s="646"/>
      <c r="S1" s="646"/>
      <c r="T1" s="646"/>
      <c r="U1" s="646"/>
      <c r="V1" s="646"/>
      <c r="W1" s="646"/>
      <c r="X1" s="646"/>
      <c r="Y1" s="646"/>
      <c r="Z1" s="646"/>
    </row>
    <row r="2" spans="1:27" ht="27" customHeight="1">
      <c r="N2" s="1642"/>
      <c r="V2" s="73"/>
      <c r="W2" s="73"/>
      <c r="X2" s="73"/>
      <c r="Y2" s="73"/>
      <c r="Z2" s="73"/>
      <c r="AA2" s="1643"/>
    </row>
    <row r="3" spans="1:27" ht="24" customHeight="1">
      <c r="B3" s="1716" t="s">
        <v>602</v>
      </c>
      <c r="C3" s="1717"/>
      <c r="D3" s="1718"/>
      <c r="E3" s="1754" t="str">
        <f>IF(工事情報!G4="","",工事情報!G4)</f>
        <v/>
      </c>
      <c r="F3" s="1705"/>
      <c r="G3" s="1705"/>
      <c r="H3" s="1705"/>
      <c r="I3" s="1705"/>
      <c r="J3" s="1706"/>
      <c r="V3" s="73"/>
      <c r="W3" s="73"/>
      <c r="X3" s="73"/>
      <c r="Y3" s="73"/>
      <c r="Z3" s="73"/>
    </row>
    <row r="4" spans="1:27" ht="30" customHeight="1">
      <c r="V4" s="73"/>
      <c r="W4" s="73"/>
      <c r="X4" s="73"/>
      <c r="Y4" s="73"/>
      <c r="Z4" s="73"/>
    </row>
    <row r="5" spans="1:27" ht="15" customHeight="1">
      <c r="B5" s="3" t="s">
        <v>329</v>
      </c>
      <c r="C5" s="1691" t="s">
        <v>5449</v>
      </c>
      <c r="D5" s="3"/>
      <c r="Q5" s="73" t="s">
        <v>806</v>
      </c>
      <c r="T5" s="210"/>
      <c r="V5" s="73"/>
      <c r="W5" s="73"/>
      <c r="X5" s="73"/>
      <c r="Y5" s="73"/>
      <c r="Z5" s="73"/>
    </row>
    <row r="6" spans="1:27" s="18" customFormat="1">
      <c r="A6" s="17"/>
      <c r="B6" s="17"/>
      <c r="C6" s="17"/>
      <c r="D6" s="42"/>
      <c r="I6" s="130"/>
      <c r="K6" s="106"/>
      <c r="L6" s="106"/>
      <c r="M6" s="106"/>
      <c r="N6" s="106"/>
      <c r="O6" s="106"/>
      <c r="P6" s="106"/>
      <c r="Q6" s="1720" t="s">
        <v>803</v>
      </c>
      <c r="R6" s="1730" t="s">
        <v>996</v>
      </c>
      <c r="S6" s="1720" t="s">
        <v>808</v>
      </c>
      <c r="T6" s="1720" t="s">
        <v>807</v>
      </c>
      <c r="U6" s="1720" t="s">
        <v>804</v>
      </c>
      <c r="V6" s="1720" t="s">
        <v>805</v>
      </c>
      <c r="W6" s="1730" t="s">
        <v>809</v>
      </c>
      <c r="X6" s="1730" t="s">
        <v>854</v>
      </c>
      <c r="Y6" s="1730" t="s">
        <v>990</v>
      </c>
      <c r="Z6" s="1730" t="s">
        <v>1065</v>
      </c>
    </row>
    <row r="7" spans="1:27" ht="28.5" customHeight="1">
      <c r="B7" s="21" t="s">
        <v>591</v>
      </c>
      <c r="C7" s="10" t="s">
        <v>330</v>
      </c>
      <c r="D7" s="9"/>
      <c r="E7" s="8"/>
      <c r="F7" s="503" t="s">
        <v>185</v>
      </c>
      <c r="G7" s="18"/>
      <c r="H7" s="18"/>
      <c r="J7" s="235" t="s">
        <v>253</v>
      </c>
      <c r="Q7" s="1721"/>
      <c r="R7" s="1721"/>
      <c r="S7" s="1721"/>
      <c r="T7" s="1721"/>
      <c r="U7" s="1721"/>
      <c r="V7" s="1721"/>
      <c r="W7" s="1731"/>
      <c r="X7" s="1731"/>
      <c r="Y7" s="1731"/>
      <c r="Z7" s="1731"/>
    </row>
    <row r="8" spans="1:27" ht="21.75" customHeight="1">
      <c r="B8" s="1"/>
      <c r="C8" s="16" t="s">
        <v>331</v>
      </c>
      <c r="D8" s="16"/>
      <c r="E8" s="11"/>
      <c r="F8" s="11"/>
      <c r="G8" s="11"/>
      <c r="H8" s="11"/>
      <c r="I8" s="134"/>
      <c r="J8" s="22" t="s">
        <v>332</v>
      </c>
      <c r="O8" s="73" t="s">
        <v>1064</v>
      </c>
      <c r="Q8" s="654"/>
      <c r="R8" s="655"/>
      <c r="S8" s="655"/>
      <c r="T8" s="655"/>
      <c r="U8" s="655"/>
      <c r="V8" s="655"/>
      <c r="W8" s="655"/>
      <c r="X8" s="655"/>
      <c r="Y8" s="655"/>
      <c r="Z8" s="655"/>
    </row>
    <row r="9" spans="1:27" ht="19.5" customHeight="1">
      <c r="B9" s="1"/>
      <c r="C9" s="36" t="s">
        <v>290</v>
      </c>
      <c r="D9" s="7" t="s">
        <v>333</v>
      </c>
      <c r="E9" s="7"/>
      <c r="F9" s="6"/>
      <c r="G9" s="6"/>
      <c r="H9" s="230"/>
      <c r="I9" s="135" t="str">
        <f>IF(J9="","※",IF(J9&gt;O9,"Ｅ",IF(J9&lt;&gt;O9,"E","")))</f>
        <v>※</v>
      </c>
      <c r="J9" s="730"/>
      <c r="K9" s="1749" t="str">
        <f>IF(I9="E","内訳「(1)+(3)+(4)+(6)+(7)」の方が大きくなっています",IF(I9="Ｅ","内訳「(1)+(3)+(4)+(6)+(7)」と一致していません",""))</f>
        <v/>
      </c>
      <c r="L9" s="1725"/>
      <c r="M9" s="1725"/>
      <c r="N9" s="4"/>
      <c r="O9" s="4">
        <f>SUMIF(Z9:Z66,"○",J9:J66)</f>
        <v>0</v>
      </c>
      <c r="P9" s="4"/>
      <c r="Q9" s="667"/>
      <c r="R9" s="668"/>
      <c r="S9" s="668"/>
      <c r="T9" s="668"/>
      <c r="U9" s="668"/>
      <c r="V9" s="668" t="s">
        <v>540</v>
      </c>
      <c r="W9" s="668" t="s">
        <v>540</v>
      </c>
      <c r="X9" s="668" t="s">
        <v>540</v>
      </c>
      <c r="Y9" s="668"/>
      <c r="Z9" s="841"/>
    </row>
    <row r="10" spans="1:27" ht="19.5" customHeight="1">
      <c r="B10" s="1"/>
      <c r="C10" s="37"/>
      <c r="D10" s="38" t="s">
        <v>57</v>
      </c>
      <c r="E10" s="7" t="s">
        <v>452</v>
      </c>
      <c r="F10" s="7"/>
      <c r="G10" s="7"/>
      <c r="H10" s="8"/>
      <c r="I10" s="135" t="str">
        <f t="shared" ref="I10:I17" si="0">IF(J10="","※","")</f>
        <v>※</v>
      </c>
      <c r="J10" s="730"/>
      <c r="K10" s="107"/>
      <c r="L10" s="107"/>
      <c r="M10" s="107"/>
      <c r="N10" s="107"/>
      <c r="O10" s="107"/>
      <c r="P10" s="107"/>
      <c r="Q10" s="667"/>
      <c r="R10" s="668"/>
      <c r="S10" s="668"/>
      <c r="T10" s="668"/>
      <c r="U10" s="668"/>
      <c r="V10" s="668"/>
      <c r="W10" s="668"/>
      <c r="X10" s="668"/>
      <c r="Y10" s="668"/>
      <c r="Z10" s="842" t="s">
        <v>1066</v>
      </c>
    </row>
    <row r="11" spans="1:27" ht="19.5" customHeight="1">
      <c r="C11" s="13"/>
      <c r="D11" s="38" t="s">
        <v>587</v>
      </c>
      <c r="E11" s="1208" t="s">
        <v>1796</v>
      </c>
      <c r="F11" s="1209"/>
      <c r="G11" s="1209"/>
      <c r="H11" s="1210"/>
      <c r="I11" s="135" t="str">
        <f t="shared" si="0"/>
        <v>※</v>
      </c>
      <c r="J11" s="730"/>
      <c r="K11" s="1726" t="s">
        <v>153</v>
      </c>
      <c r="L11" s="1725"/>
      <c r="M11" s="1725"/>
      <c r="N11" s="4"/>
      <c r="O11" s="4"/>
      <c r="P11" s="4"/>
      <c r="Q11" s="667"/>
      <c r="R11" s="668"/>
      <c r="S11" s="668"/>
      <c r="T11" s="668"/>
      <c r="U11" s="668"/>
      <c r="V11" s="668"/>
      <c r="W11" s="668" t="s">
        <v>540</v>
      </c>
      <c r="X11" s="668" t="s">
        <v>540</v>
      </c>
      <c r="Y11" s="668"/>
      <c r="Z11" s="841"/>
    </row>
    <row r="12" spans="1:27" ht="19.5" customHeight="1">
      <c r="C12" s="13"/>
      <c r="D12" s="38" t="s">
        <v>58</v>
      </c>
      <c r="E12" s="1209" t="s">
        <v>453</v>
      </c>
      <c r="F12" s="1209"/>
      <c r="G12" s="1209"/>
      <c r="H12" s="1210"/>
      <c r="I12" s="132" t="str">
        <f t="shared" si="0"/>
        <v>※</v>
      </c>
      <c r="J12" s="815"/>
      <c r="Q12" s="667"/>
      <c r="R12" s="668"/>
      <c r="S12" s="668"/>
      <c r="T12" s="668"/>
      <c r="U12" s="668"/>
      <c r="V12" s="668"/>
      <c r="W12" s="668"/>
      <c r="X12" s="668"/>
      <c r="Y12" s="668"/>
      <c r="Z12" s="842" t="s">
        <v>1066</v>
      </c>
    </row>
    <row r="13" spans="1:27" ht="19.5" customHeight="1">
      <c r="C13" s="13"/>
      <c r="D13" s="1159"/>
      <c r="E13" s="1211" t="s">
        <v>107</v>
      </c>
      <c r="F13" s="1212" t="s">
        <v>1688</v>
      </c>
      <c r="G13" s="1212"/>
      <c r="H13" s="1213"/>
      <c r="I13" s="1161" t="str">
        <f>IF(J13="","※","")</f>
        <v>※</v>
      </c>
      <c r="J13" s="743"/>
      <c r="K13" s="1732" t="s">
        <v>1691</v>
      </c>
      <c r="L13" s="1733"/>
      <c r="M13" s="1733"/>
      <c r="Q13" s="667"/>
      <c r="R13" s="668"/>
      <c r="S13" s="668"/>
      <c r="T13" s="668"/>
      <c r="U13" s="668"/>
      <c r="V13" s="668"/>
      <c r="W13" s="668"/>
      <c r="X13" s="668"/>
      <c r="Y13" s="668"/>
      <c r="Z13" s="842"/>
    </row>
    <row r="14" spans="1:27" ht="19.5" customHeight="1">
      <c r="C14" s="13"/>
      <c r="D14" s="1158"/>
      <c r="E14" s="1214" t="s">
        <v>1690</v>
      </c>
      <c r="F14" s="1215" t="s">
        <v>1689</v>
      </c>
      <c r="G14" s="1215"/>
      <c r="H14" s="1216"/>
      <c r="I14" s="133" t="str">
        <f>IF(J14="","※","")</f>
        <v>※</v>
      </c>
      <c r="J14" s="780"/>
      <c r="K14" s="1732" t="s">
        <v>1691</v>
      </c>
      <c r="L14" s="1733"/>
      <c r="M14" s="1733"/>
      <c r="Q14" s="667"/>
      <c r="R14" s="668"/>
      <c r="S14" s="668"/>
      <c r="T14" s="668"/>
      <c r="U14" s="668"/>
      <c r="V14" s="668"/>
      <c r="W14" s="668"/>
      <c r="X14" s="668"/>
      <c r="Y14" s="668"/>
      <c r="Z14" s="842"/>
    </row>
    <row r="15" spans="1:27" ht="19.5" customHeight="1">
      <c r="C15" s="13"/>
      <c r="D15" s="39" t="s">
        <v>59</v>
      </c>
      <c r="E15" s="1208" t="s">
        <v>386</v>
      </c>
      <c r="F15" s="1209"/>
      <c r="G15" s="1209"/>
      <c r="H15" s="1210"/>
      <c r="I15" s="135" t="str">
        <f t="shared" si="0"/>
        <v>※</v>
      </c>
      <c r="J15" s="730"/>
      <c r="Q15" s="667"/>
      <c r="R15" s="668"/>
      <c r="S15" s="668"/>
      <c r="T15" s="668"/>
      <c r="U15" s="668"/>
      <c r="V15" s="668"/>
      <c r="W15" s="668"/>
      <c r="X15" s="668"/>
      <c r="Y15" s="668"/>
      <c r="Z15" s="842" t="s">
        <v>1066</v>
      </c>
    </row>
    <row r="16" spans="1:27" ht="19.5" customHeight="1">
      <c r="C16" s="13"/>
      <c r="D16" s="39" t="s">
        <v>588</v>
      </c>
      <c r="E16" s="6" t="s">
        <v>60</v>
      </c>
      <c r="F16" s="7"/>
      <c r="G16" s="7"/>
      <c r="H16" s="8"/>
      <c r="I16" s="135" t="str">
        <f t="shared" si="0"/>
        <v>※</v>
      </c>
      <c r="J16" s="730"/>
      <c r="K16" s="1726" t="s">
        <v>153</v>
      </c>
      <c r="L16" s="1725"/>
      <c r="M16" s="1725"/>
      <c r="N16" s="4"/>
      <c r="O16" s="4"/>
      <c r="P16" s="4"/>
      <c r="Q16" s="667"/>
      <c r="R16" s="668"/>
      <c r="S16" s="668"/>
      <c r="T16" s="668"/>
      <c r="U16" s="668"/>
      <c r="V16" s="668"/>
      <c r="W16" s="668" t="s">
        <v>540</v>
      </c>
      <c r="X16" s="668" t="s">
        <v>540</v>
      </c>
      <c r="Y16" s="668"/>
      <c r="Z16" s="841"/>
    </row>
    <row r="17" spans="3:26" ht="19.5" customHeight="1">
      <c r="C17" s="13"/>
      <c r="D17" s="39" t="s">
        <v>61</v>
      </c>
      <c r="E17" s="7" t="s">
        <v>322</v>
      </c>
      <c r="F17" s="7"/>
      <c r="G17" s="7"/>
      <c r="H17" s="8"/>
      <c r="I17" s="135" t="str">
        <f t="shared" si="0"/>
        <v>※</v>
      </c>
      <c r="J17" s="730"/>
      <c r="Q17" s="667"/>
      <c r="R17" s="668"/>
      <c r="S17" s="668"/>
      <c r="T17" s="668"/>
      <c r="U17" s="668"/>
      <c r="V17" s="668"/>
      <c r="W17" s="668"/>
      <c r="X17" s="668"/>
      <c r="Y17" s="668"/>
      <c r="Z17" s="842" t="s">
        <v>1066</v>
      </c>
    </row>
    <row r="18" spans="3:26" ht="19.5" customHeight="1">
      <c r="C18" s="13"/>
      <c r="D18" s="908" t="s">
        <v>1438</v>
      </c>
      <c r="E18" s="269" t="s">
        <v>30</v>
      </c>
      <c r="F18" s="563"/>
      <c r="G18" s="559"/>
      <c r="H18" s="8"/>
      <c r="I18" s="135" t="str">
        <f>IF(J18="","※","")</f>
        <v>※</v>
      </c>
      <c r="J18" s="730"/>
      <c r="Q18" s="667"/>
      <c r="R18" s="668"/>
      <c r="S18" s="668"/>
      <c r="T18" s="668"/>
      <c r="U18" s="668"/>
      <c r="V18" s="668"/>
      <c r="W18" s="668"/>
      <c r="X18" s="668"/>
      <c r="Y18" s="668"/>
      <c r="Z18" s="842" t="s">
        <v>1066</v>
      </c>
    </row>
    <row r="19" spans="3:26" ht="19.5" customHeight="1">
      <c r="C19" s="13"/>
      <c r="D19" s="266"/>
      <c r="E19" s="564" t="s">
        <v>107</v>
      </c>
      <c r="F19" s="7" t="s">
        <v>1439</v>
      </c>
      <c r="G19" s="559"/>
      <c r="H19" s="8"/>
      <c r="I19" s="129" t="str">
        <f>IF(J19="","※",IF(J18&lt;J19,"E",""))</f>
        <v>※</v>
      </c>
      <c r="J19" s="730"/>
      <c r="K19" s="1724" t="str">
        <f>IF(I19="E","「(7)その他」より「1）処分費」が大きくなっています","")</f>
        <v/>
      </c>
      <c r="L19" s="1725"/>
      <c r="M19" s="1725"/>
      <c r="N19" s="4"/>
      <c r="O19" s="4"/>
      <c r="P19" s="4"/>
      <c r="Q19" s="669"/>
      <c r="R19" s="670"/>
      <c r="S19" s="670"/>
      <c r="T19" s="670"/>
      <c r="U19" s="670"/>
      <c r="V19" s="670"/>
      <c r="W19" s="670"/>
      <c r="X19" s="670"/>
      <c r="Y19" s="670"/>
      <c r="Z19" s="843"/>
    </row>
    <row r="20" spans="3:26" ht="19.5" hidden="1" customHeight="1">
      <c r="C20" s="13"/>
      <c r="D20" s="908" t="s">
        <v>1440</v>
      </c>
      <c r="E20" s="7" t="s">
        <v>1507</v>
      </c>
      <c r="F20" s="563"/>
      <c r="G20" s="559"/>
      <c r="H20" s="8"/>
      <c r="I20" s="135"/>
      <c r="J20" s="730"/>
      <c r="K20" s="1726" t="s">
        <v>1441</v>
      </c>
      <c r="L20" s="1725"/>
      <c r="M20" s="1725"/>
      <c r="Q20" s="667"/>
      <c r="R20" s="668"/>
      <c r="S20" s="668"/>
      <c r="T20" s="668"/>
      <c r="U20" s="668"/>
      <c r="V20" s="668"/>
      <c r="W20" s="668"/>
      <c r="X20" s="668"/>
      <c r="Y20" s="668"/>
      <c r="Z20" s="842"/>
    </row>
    <row r="21" spans="3:26" ht="19.5" hidden="1" customHeight="1">
      <c r="C21" s="621" t="s">
        <v>548</v>
      </c>
      <c r="D21" s="622"/>
      <c r="E21" s="622"/>
      <c r="F21" s="600"/>
      <c r="G21" s="623"/>
      <c r="H21" s="600"/>
      <c r="I21" s="624"/>
      <c r="J21" s="625"/>
      <c r="K21" s="582"/>
      <c r="L21" s="582"/>
      <c r="M21" s="582"/>
      <c r="N21" s="582"/>
      <c r="O21" s="582"/>
      <c r="P21" s="582"/>
      <c r="Q21" s="669"/>
      <c r="R21" s="670"/>
      <c r="S21" s="670"/>
      <c r="T21" s="670"/>
      <c r="U21" s="670"/>
      <c r="V21" s="670"/>
      <c r="W21" s="670"/>
      <c r="X21" s="670"/>
      <c r="Y21" s="670"/>
      <c r="Z21" s="843"/>
    </row>
    <row r="22" spans="3:26" ht="19.5" hidden="1" customHeight="1">
      <c r="C22" s="626"/>
      <c r="D22" s="627"/>
      <c r="E22" s="627"/>
      <c r="F22" s="482"/>
      <c r="G22" s="628"/>
      <c r="H22" s="482"/>
      <c r="I22" s="580"/>
      <c r="J22" s="629"/>
      <c r="K22" s="582"/>
      <c r="L22" s="582"/>
      <c r="M22" s="582"/>
      <c r="N22" s="582"/>
      <c r="O22" s="582"/>
      <c r="P22" s="582"/>
      <c r="Q22" s="671"/>
      <c r="R22" s="672"/>
      <c r="S22" s="672"/>
      <c r="T22" s="672"/>
      <c r="U22" s="672"/>
      <c r="V22" s="672"/>
      <c r="W22" s="672"/>
      <c r="X22" s="672"/>
      <c r="Y22" s="672"/>
      <c r="Z22" s="844"/>
    </row>
    <row r="23" spans="3:26" ht="19.5" hidden="1" customHeight="1">
      <c r="C23" s="626"/>
      <c r="D23" s="627"/>
      <c r="E23" s="627"/>
      <c r="F23" s="482"/>
      <c r="G23" s="628"/>
      <c r="H23" s="482"/>
      <c r="I23" s="580"/>
      <c r="J23" s="629"/>
      <c r="K23" s="582"/>
      <c r="L23" s="582"/>
      <c r="M23" s="582"/>
      <c r="N23" s="582"/>
      <c r="O23" s="582"/>
      <c r="P23" s="582"/>
      <c r="Q23" s="671"/>
      <c r="R23" s="672"/>
      <c r="S23" s="672"/>
      <c r="T23" s="672"/>
      <c r="U23" s="672"/>
      <c r="V23" s="672"/>
      <c r="W23" s="672"/>
      <c r="X23" s="672"/>
      <c r="Y23" s="672"/>
      <c r="Z23" s="844"/>
    </row>
    <row r="24" spans="3:26" ht="19.5" hidden="1" customHeight="1">
      <c r="C24" s="626"/>
      <c r="D24" s="627"/>
      <c r="E24" s="627"/>
      <c r="F24" s="630"/>
      <c r="G24" s="484"/>
      <c r="H24" s="482"/>
      <c r="I24" s="580"/>
      <c r="J24" s="631"/>
      <c r="Q24" s="673"/>
      <c r="R24" s="674"/>
      <c r="S24" s="674"/>
      <c r="T24" s="674"/>
      <c r="U24" s="674"/>
      <c r="V24" s="674"/>
      <c r="W24" s="674"/>
      <c r="X24" s="674"/>
      <c r="Y24" s="674"/>
      <c r="Z24" s="845"/>
    </row>
    <row r="25" spans="3:26" ht="19.5" hidden="1" customHeight="1">
      <c r="C25" s="632"/>
      <c r="D25" s="633"/>
      <c r="E25" s="634"/>
      <c r="F25" s="635"/>
      <c r="G25" s="634"/>
      <c r="H25" s="636"/>
      <c r="I25" s="581"/>
      <c r="J25" s="637"/>
      <c r="Q25" s="675"/>
      <c r="R25" s="676"/>
      <c r="S25" s="676"/>
      <c r="T25" s="676"/>
      <c r="U25" s="676"/>
      <c r="V25" s="676"/>
      <c r="W25" s="676"/>
      <c r="X25" s="676"/>
      <c r="Y25" s="676"/>
      <c r="Z25" s="846"/>
    </row>
    <row r="26" spans="3:26" ht="19.5" customHeight="1">
      <c r="C26" s="38" t="s">
        <v>291</v>
      </c>
      <c r="D26" s="7" t="s">
        <v>702</v>
      </c>
      <c r="E26" s="7"/>
      <c r="F26" s="6"/>
      <c r="G26" s="6"/>
      <c r="H26" s="5"/>
      <c r="I26" s="129"/>
      <c r="J26" s="136">
        <f>SUMIF(Q8:Q161,"○",$J$8:$J$161)</f>
        <v>0</v>
      </c>
      <c r="Q26" s="677"/>
      <c r="R26" s="678"/>
      <c r="S26" s="678"/>
      <c r="T26" s="678"/>
      <c r="U26" s="678"/>
      <c r="V26" s="678" t="s">
        <v>540</v>
      </c>
      <c r="W26" s="678"/>
      <c r="X26" s="678"/>
      <c r="Y26" s="678"/>
      <c r="Z26" s="678"/>
    </row>
    <row r="27" spans="3:26" ht="19.5" customHeight="1">
      <c r="C27" s="266"/>
      <c r="D27" s="268" t="s">
        <v>931</v>
      </c>
      <c r="E27" s="269" t="s">
        <v>929</v>
      </c>
      <c r="F27" s="196"/>
      <c r="G27" s="269"/>
      <c r="H27" s="213"/>
      <c r="I27" s="129"/>
      <c r="J27" s="136">
        <f>SUMIF(R8:R161,"○",$J$8:$J$161)</f>
        <v>0</v>
      </c>
      <c r="Q27" s="677"/>
      <c r="R27" s="678"/>
      <c r="S27" s="678"/>
      <c r="T27" s="678"/>
      <c r="U27" s="678"/>
      <c r="V27" s="678"/>
      <c r="W27" s="678"/>
      <c r="X27" s="678"/>
      <c r="Y27" s="678"/>
      <c r="Z27" s="678"/>
    </row>
    <row r="28" spans="3:26" ht="19.5" customHeight="1">
      <c r="C28" s="267"/>
      <c r="D28" s="267"/>
      <c r="E28" s="268" t="s">
        <v>158</v>
      </c>
      <c r="F28" s="269" t="s">
        <v>157</v>
      </c>
      <c r="G28" s="269"/>
      <c r="H28" s="269"/>
      <c r="I28" s="160"/>
      <c r="J28" s="276">
        <f>SUMIF(S8:S161,"○",$J$8:$J$161)</f>
        <v>0</v>
      </c>
      <c r="Q28" s="718" t="s">
        <v>540</v>
      </c>
      <c r="R28" s="718" t="s">
        <v>540</v>
      </c>
      <c r="S28" s="679"/>
      <c r="T28" s="679"/>
      <c r="U28" s="679"/>
      <c r="V28" s="679"/>
      <c r="W28" s="679"/>
      <c r="X28" s="679"/>
      <c r="Y28" s="679"/>
      <c r="Z28" s="679"/>
    </row>
    <row r="29" spans="3:26" ht="19.5" customHeight="1">
      <c r="C29" s="267"/>
      <c r="D29" s="267"/>
      <c r="E29" s="267"/>
      <c r="F29" s="740" t="s">
        <v>159</v>
      </c>
      <c r="G29" s="250" t="s">
        <v>703</v>
      </c>
      <c r="H29" s="741"/>
      <c r="I29" s="742" t="str">
        <f t="shared" ref="I29:I34" si="1">IF(J29="","※","")</f>
        <v>※</v>
      </c>
      <c r="J29" s="743"/>
      <c r="Q29" s="680"/>
      <c r="R29" s="681"/>
      <c r="S29" s="681" t="s">
        <v>540</v>
      </c>
      <c r="T29" s="681"/>
      <c r="U29" s="681"/>
      <c r="V29" s="681"/>
      <c r="W29" s="681"/>
      <c r="X29" s="681"/>
      <c r="Y29" s="681"/>
      <c r="Z29" s="681"/>
    </row>
    <row r="30" spans="3:26" ht="19.5" customHeight="1">
      <c r="C30" s="267"/>
      <c r="D30" s="267"/>
      <c r="E30" s="267"/>
      <c r="F30" s="749" t="s">
        <v>454</v>
      </c>
      <c r="G30" s="250" t="s">
        <v>704</v>
      </c>
      <c r="H30" s="741"/>
      <c r="I30" s="742"/>
      <c r="J30" s="744">
        <f>SUMIF(T8:T161,"○",$J$8:$J$161)</f>
        <v>0</v>
      </c>
      <c r="Q30" s="682"/>
      <c r="R30" s="683"/>
      <c r="S30" s="683" t="s">
        <v>540</v>
      </c>
      <c r="T30" s="683"/>
      <c r="U30" s="683"/>
      <c r="V30" s="683"/>
      <c r="W30" s="683"/>
      <c r="X30" s="683"/>
      <c r="Y30" s="683"/>
      <c r="Z30" s="683"/>
    </row>
    <row r="31" spans="3:26" ht="19.5" customHeight="1">
      <c r="C31" s="267"/>
      <c r="D31" s="267"/>
      <c r="E31" s="267"/>
      <c r="F31" s="750"/>
      <c r="G31" s="250" t="s">
        <v>352</v>
      </c>
      <c r="H31" s="741"/>
      <c r="I31" s="742" t="str">
        <f t="shared" si="1"/>
        <v>※</v>
      </c>
      <c r="J31" s="743"/>
      <c r="Q31" s="680"/>
      <c r="R31" s="681"/>
      <c r="S31" s="681"/>
      <c r="T31" s="681" t="s">
        <v>540</v>
      </c>
      <c r="U31" s="681"/>
      <c r="V31" s="681"/>
      <c r="W31" s="681"/>
      <c r="X31" s="681"/>
      <c r="Y31" s="681"/>
      <c r="Z31" s="681"/>
    </row>
    <row r="32" spans="3:26" ht="19.5" customHeight="1">
      <c r="C32" s="267"/>
      <c r="D32" s="267"/>
      <c r="E32" s="267"/>
      <c r="F32" s="748"/>
      <c r="G32" s="250" t="s">
        <v>353</v>
      </c>
      <c r="H32" s="741"/>
      <c r="I32" s="742" t="str">
        <f t="shared" si="1"/>
        <v>※</v>
      </c>
      <c r="J32" s="743"/>
      <c r="Q32" s="680"/>
      <c r="R32" s="681"/>
      <c r="S32" s="681"/>
      <c r="T32" s="681" t="s">
        <v>540</v>
      </c>
      <c r="U32" s="681"/>
      <c r="V32" s="681"/>
      <c r="W32" s="681" t="s">
        <v>540</v>
      </c>
      <c r="X32" s="681" t="s">
        <v>540</v>
      </c>
      <c r="Y32" s="681"/>
      <c r="Z32" s="681"/>
    </row>
    <row r="33" spans="1:26" ht="19.5" customHeight="1">
      <c r="C33" s="267"/>
      <c r="D33" s="267"/>
      <c r="E33" s="267"/>
      <c r="F33" s="740" t="s">
        <v>160</v>
      </c>
      <c r="G33" s="250" t="s">
        <v>161</v>
      </c>
      <c r="H33" s="745"/>
      <c r="I33" s="742" t="str">
        <f t="shared" si="1"/>
        <v>※</v>
      </c>
      <c r="J33" s="743"/>
      <c r="K33" s="1787"/>
      <c r="L33" s="1788"/>
      <c r="M33" s="1788"/>
      <c r="N33" s="1642"/>
      <c r="Q33" s="680"/>
      <c r="R33" s="681"/>
      <c r="S33" s="681" t="s">
        <v>540</v>
      </c>
      <c r="T33" s="681"/>
      <c r="U33" s="681"/>
      <c r="V33" s="681"/>
      <c r="W33" s="681" t="s">
        <v>540</v>
      </c>
      <c r="X33" s="681" t="s">
        <v>540</v>
      </c>
      <c r="Y33" s="681"/>
      <c r="Z33" s="681"/>
    </row>
    <row r="34" spans="1:26" ht="19.5" customHeight="1">
      <c r="C34" s="267"/>
      <c r="D34" s="236"/>
      <c r="E34" s="236"/>
      <c r="F34" s="931" t="s">
        <v>455</v>
      </c>
      <c r="G34" s="747" t="s">
        <v>705</v>
      </c>
      <c r="H34" s="745"/>
      <c r="I34" s="742" t="str">
        <f t="shared" si="1"/>
        <v>※</v>
      </c>
      <c r="J34" s="743"/>
      <c r="K34" s="1770"/>
      <c r="L34" s="1771"/>
      <c r="M34" s="1771"/>
      <c r="N34" s="1688"/>
      <c r="Q34" s="680"/>
      <c r="R34" s="681"/>
      <c r="S34" s="681" t="s">
        <v>540</v>
      </c>
      <c r="T34" s="681"/>
      <c r="U34" s="681"/>
      <c r="V34" s="681"/>
      <c r="W34" s="681"/>
      <c r="X34" s="681"/>
      <c r="Y34" s="681"/>
      <c r="Z34" s="681"/>
    </row>
    <row r="35" spans="1:26" s="1689" customFormat="1" ht="80.099999999999994" customHeight="1">
      <c r="A35" s="3"/>
      <c r="B35" s="3"/>
      <c r="C35" s="1690"/>
      <c r="D35" s="236"/>
      <c r="E35" s="236"/>
      <c r="F35" s="1247"/>
      <c r="G35" s="1734" t="s">
        <v>5450</v>
      </c>
      <c r="H35" s="1735"/>
      <c r="I35" s="742" t="str">
        <f t="shared" ref="I35:I36" si="2">IF(J35="","※","")</f>
        <v>※</v>
      </c>
      <c r="J35" s="743"/>
      <c r="K35" s="1732" t="s">
        <v>5452</v>
      </c>
      <c r="L35" s="1733"/>
      <c r="M35" s="1733"/>
      <c r="N35" s="1687"/>
      <c r="O35" s="73"/>
      <c r="P35" s="73"/>
      <c r="Q35" s="680"/>
      <c r="R35" s="681"/>
      <c r="S35" s="681"/>
      <c r="T35" s="681"/>
      <c r="U35" s="681"/>
      <c r="V35" s="681"/>
      <c r="W35" s="681"/>
      <c r="X35" s="681"/>
      <c r="Y35" s="681"/>
      <c r="Z35" s="681"/>
    </row>
    <row r="36" spans="1:26" s="1342" customFormat="1" ht="80.099999999999994" customHeight="1">
      <c r="A36" s="1333"/>
      <c r="B36" s="1333"/>
      <c r="C36" s="1690"/>
      <c r="D36" s="236"/>
      <c r="E36" s="236"/>
      <c r="F36" s="1247"/>
      <c r="G36" s="1734" t="s">
        <v>5451</v>
      </c>
      <c r="H36" s="1735"/>
      <c r="I36" s="742" t="str">
        <f t="shared" si="2"/>
        <v>※</v>
      </c>
      <c r="J36" s="743"/>
      <c r="K36" s="1548"/>
      <c r="L36" s="1549"/>
      <c r="M36" s="1550"/>
      <c r="N36" s="1548"/>
      <c r="O36" s="1339"/>
      <c r="P36" s="1339"/>
      <c r="Q36" s="1340"/>
      <c r="R36" s="1341"/>
      <c r="S36" s="1341"/>
      <c r="T36" s="1341"/>
      <c r="U36" s="1341"/>
      <c r="V36" s="1341"/>
      <c r="W36" s="1341"/>
      <c r="X36" s="1341"/>
      <c r="Y36" s="1341"/>
      <c r="Z36" s="1341"/>
    </row>
    <row r="37" spans="1:26" s="1342" customFormat="1" ht="32.25" customHeight="1">
      <c r="A37" s="1333"/>
      <c r="B37" s="1333"/>
      <c r="C37" s="1690"/>
      <c r="D37" s="236"/>
      <c r="E37" s="236"/>
      <c r="F37" s="1247"/>
      <c r="G37" s="1736" t="s">
        <v>5294</v>
      </c>
      <c r="H37" s="1737"/>
      <c r="I37" s="742" t="str">
        <f t="shared" ref="I37" si="3">IF(J37="","※","")</f>
        <v>※</v>
      </c>
      <c r="J37" s="743"/>
      <c r="K37" s="1548"/>
      <c r="L37" s="1549"/>
      <c r="M37" s="1550"/>
      <c r="N37" s="1548"/>
      <c r="O37" s="1339"/>
      <c r="P37" s="1339"/>
      <c r="Q37" s="1340"/>
      <c r="R37" s="1341"/>
      <c r="S37" s="1341"/>
      <c r="T37" s="1341"/>
      <c r="U37" s="1341"/>
      <c r="V37" s="1341"/>
      <c r="W37" s="1341"/>
      <c r="X37" s="1341"/>
      <c r="Y37" s="1341"/>
      <c r="Z37" s="1341"/>
    </row>
    <row r="38" spans="1:26" s="1342" customFormat="1" ht="19.5" hidden="1" customHeight="1">
      <c r="A38" s="1333"/>
      <c r="B38" s="1333"/>
      <c r="C38" s="1334"/>
      <c r="D38" s="1335"/>
      <c r="E38" s="1335"/>
      <c r="F38" s="1343"/>
      <c r="G38" s="1336" t="s">
        <v>1626</v>
      </c>
      <c r="H38" s="1337"/>
      <c r="I38" s="742"/>
      <c r="J38" s="1338"/>
      <c r="K38" s="1344"/>
      <c r="L38" s="1344"/>
      <c r="M38" s="1344"/>
      <c r="N38" s="1344"/>
      <c r="O38" s="1339"/>
      <c r="P38" s="1339"/>
      <c r="Q38" s="1340"/>
      <c r="R38" s="1341"/>
      <c r="S38" s="1341"/>
      <c r="T38" s="1341"/>
      <c r="U38" s="1341"/>
      <c r="V38" s="1341"/>
      <c r="W38" s="1341"/>
      <c r="X38" s="1341"/>
      <c r="Y38" s="1341"/>
      <c r="Z38" s="1341"/>
    </row>
    <row r="39" spans="1:26" s="1342" customFormat="1" ht="19.5" hidden="1" customHeight="1">
      <c r="A39" s="1333"/>
      <c r="B39" s="1333"/>
      <c r="C39" s="1334"/>
      <c r="D39" s="1335"/>
      <c r="E39" s="1335"/>
      <c r="F39" s="1345"/>
      <c r="G39" s="1336" t="s">
        <v>1625</v>
      </c>
      <c r="H39" s="1337"/>
      <c r="I39" s="742"/>
      <c r="J39" s="1338"/>
      <c r="K39" s="1344"/>
      <c r="L39" s="1344"/>
      <c r="M39" s="1344"/>
      <c r="N39" s="1344"/>
      <c r="O39" s="1339"/>
      <c r="P39" s="1339"/>
      <c r="Q39" s="1340"/>
      <c r="R39" s="1341"/>
      <c r="S39" s="1341"/>
      <c r="T39" s="1341"/>
      <c r="U39" s="1341"/>
      <c r="V39" s="1341"/>
      <c r="W39" s="1341"/>
      <c r="X39" s="1341"/>
      <c r="Y39" s="1341"/>
      <c r="Z39" s="1341"/>
    </row>
    <row r="40" spans="1:26" ht="19.5" customHeight="1">
      <c r="C40" s="267"/>
      <c r="D40" s="236"/>
      <c r="E40" s="236"/>
      <c r="F40" s="746" t="s">
        <v>456</v>
      </c>
      <c r="G40" s="747" t="s">
        <v>706</v>
      </c>
      <c r="H40" s="745"/>
      <c r="I40" s="742" t="str">
        <f>IF(J40="","※","")</f>
        <v>※</v>
      </c>
      <c r="J40" s="743"/>
      <c r="Q40" s="680"/>
      <c r="R40" s="681"/>
      <c r="S40" s="681" t="s">
        <v>540</v>
      </c>
      <c r="T40" s="681"/>
      <c r="U40" s="681"/>
      <c r="V40" s="681"/>
      <c r="W40" s="681"/>
      <c r="X40" s="681"/>
      <c r="Y40" s="681"/>
      <c r="Z40" s="681"/>
    </row>
    <row r="41" spans="1:26" ht="19.5" customHeight="1">
      <c r="C41" s="267"/>
      <c r="D41" s="236"/>
      <c r="E41" s="236"/>
      <c r="F41" s="746" t="s">
        <v>457</v>
      </c>
      <c r="G41" s="747" t="s">
        <v>707</v>
      </c>
      <c r="H41" s="745"/>
      <c r="I41" s="742" t="str">
        <f>IF(J41="","※","")</f>
        <v>※</v>
      </c>
      <c r="J41" s="743"/>
      <c r="Q41" s="680"/>
      <c r="R41" s="681"/>
      <c r="S41" s="681" t="s">
        <v>540</v>
      </c>
      <c r="T41" s="681"/>
      <c r="U41" s="681"/>
      <c r="V41" s="681"/>
      <c r="W41" s="681"/>
      <c r="X41" s="681"/>
      <c r="Y41" s="681"/>
      <c r="Z41" s="681"/>
    </row>
    <row r="42" spans="1:26" ht="19.5" customHeight="1">
      <c r="C42" s="267"/>
      <c r="D42" s="236"/>
      <c r="E42" s="236"/>
      <c r="F42" s="931" t="s">
        <v>458</v>
      </c>
      <c r="G42" s="747" t="s">
        <v>708</v>
      </c>
      <c r="H42" s="745"/>
      <c r="I42" s="742" t="str">
        <f>IF(J42="","※","")</f>
        <v>※</v>
      </c>
      <c r="J42" s="743"/>
      <c r="Q42" s="680"/>
      <c r="R42" s="681"/>
      <c r="S42" s="681" t="s">
        <v>540</v>
      </c>
      <c r="T42" s="681"/>
      <c r="U42" s="681"/>
      <c r="V42" s="681"/>
      <c r="W42" s="681"/>
      <c r="X42" s="681"/>
      <c r="Y42" s="681"/>
      <c r="Z42" s="681"/>
    </row>
    <row r="43" spans="1:26" ht="19.5" customHeight="1">
      <c r="C43" s="267"/>
      <c r="D43" s="267"/>
      <c r="E43" s="267"/>
      <c r="F43" s="748"/>
      <c r="G43" s="1144" t="s">
        <v>1624</v>
      </c>
      <c r="H43" s="741"/>
      <c r="I43" s="742" t="str">
        <f t="shared" ref="I43" si="4">IF(J43="","※","")</f>
        <v>※</v>
      </c>
      <c r="J43" s="743"/>
      <c r="Q43" s="680"/>
      <c r="R43" s="681"/>
      <c r="S43" s="681"/>
      <c r="T43" s="681"/>
      <c r="U43" s="681"/>
      <c r="V43" s="681"/>
      <c r="W43" s="681"/>
      <c r="X43" s="681"/>
      <c r="Y43" s="681"/>
      <c r="Z43" s="681"/>
    </row>
    <row r="44" spans="1:26" ht="19.5" customHeight="1">
      <c r="C44" s="267"/>
      <c r="D44" s="236"/>
      <c r="E44" s="270"/>
      <c r="F44" s="737" t="s">
        <v>459</v>
      </c>
      <c r="G44" s="469" t="s">
        <v>709</v>
      </c>
      <c r="H44" s="738"/>
      <c r="I44" s="501" t="str">
        <f>IF(J44="","※","")</f>
        <v>※</v>
      </c>
      <c r="J44" s="739"/>
      <c r="Q44" s="684"/>
      <c r="R44" s="685"/>
      <c r="S44" s="685" t="s">
        <v>540</v>
      </c>
      <c r="T44" s="685"/>
      <c r="U44" s="685"/>
      <c r="V44" s="685"/>
      <c r="W44" s="685"/>
      <c r="X44" s="685"/>
      <c r="Y44" s="685"/>
      <c r="Z44" s="685"/>
    </row>
    <row r="45" spans="1:26" ht="19.5" customHeight="1">
      <c r="C45" s="267"/>
      <c r="D45" s="236"/>
      <c r="E45" s="265" t="s">
        <v>589</v>
      </c>
      <c r="F45" s="271" t="s">
        <v>710</v>
      </c>
      <c r="G45" s="271"/>
      <c r="H45" s="272"/>
      <c r="I45" s="129" t="str">
        <f>IF(J45="","※","")</f>
        <v>※</v>
      </c>
      <c r="J45" s="730"/>
      <c r="K45" s="851" t="s">
        <v>688</v>
      </c>
      <c r="Q45" s="667" t="s">
        <v>540</v>
      </c>
      <c r="R45" s="718" t="s">
        <v>540</v>
      </c>
      <c r="S45" s="668"/>
      <c r="T45" s="668"/>
      <c r="U45" s="668"/>
      <c r="V45" s="668"/>
      <c r="W45" s="668"/>
      <c r="X45" s="668"/>
      <c r="Y45" s="668"/>
      <c r="Z45" s="841"/>
    </row>
    <row r="46" spans="1:26" ht="19.5" customHeight="1">
      <c r="C46" s="267"/>
      <c r="D46" s="273"/>
      <c r="E46" s="265" t="s">
        <v>590</v>
      </c>
      <c r="F46" s="1208" t="s">
        <v>1797</v>
      </c>
      <c r="G46" s="271"/>
      <c r="H46" s="272"/>
      <c r="I46" s="129" t="str">
        <f>IF(J46="","※","")</f>
        <v>※</v>
      </c>
      <c r="J46" s="730"/>
      <c r="K46" s="1160"/>
      <c r="Q46" s="667" t="s">
        <v>540</v>
      </c>
      <c r="R46" s="718" t="s">
        <v>540</v>
      </c>
      <c r="S46" s="668"/>
      <c r="T46" s="668"/>
      <c r="U46" s="668"/>
      <c r="V46" s="668"/>
      <c r="W46" s="668"/>
      <c r="X46" s="668"/>
      <c r="Y46" s="668"/>
      <c r="Z46" s="841"/>
    </row>
    <row r="47" spans="1:26" ht="19.5" customHeight="1">
      <c r="C47" s="267"/>
      <c r="D47" s="273"/>
      <c r="E47" s="268" t="s">
        <v>350</v>
      </c>
      <c r="F47" s="1209" t="s">
        <v>1798</v>
      </c>
      <c r="G47" s="274"/>
      <c r="H47" s="275"/>
      <c r="I47" s="129" t="str">
        <f>IF(J47="","※","")</f>
        <v>※</v>
      </c>
      <c r="J47" s="730"/>
      <c r="K47" s="1160"/>
      <c r="Q47" s="669" t="s">
        <v>540</v>
      </c>
      <c r="R47" s="718" t="s">
        <v>540</v>
      </c>
      <c r="S47" s="670"/>
      <c r="T47" s="670"/>
      <c r="U47" s="670"/>
      <c r="V47" s="670"/>
      <c r="W47" s="670"/>
      <c r="X47" s="670"/>
      <c r="Y47" s="670"/>
      <c r="Z47" s="843"/>
    </row>
    <row r="48" spans="1:26" s="1532" customFormat="1" ht="19.5" customHeight="1">
      <c r="A48" s="3"/>
      <c r="B48" s="3"/>
      <c r="C48" s="1535"/>
      <c r="D48" s="273"/>
      <c r="E48" s="1553" t="s">
        <v>5295</v>
      </c>
      <c r="F48" s="1209" t="s">
        <v>5296</v>
      </c>
      <c r="G48" s="274"/>
      <c r="H48" s="275"/>
      <c r="I48" s="129" t="str">
        <f>IF(J48="","※","")</f>
        <v>※</v>
      </c>
      <c r="J48" s="730"/>
      <c r="K48" s="1160"/>
      <c r="L48" s="73"/>
      <c r="M48" s="73"/>
      <c r="N48" s="73"/>
      <c r="O48" s="73"/>
      <c r="P48" s="73"/>
      <c r="Q48" s="669" t="s">
        <v>540</v>
      </c>
      <c r="R48" s="718" t="s">
        <v>540</v>
      </c>
      <c r="S48" s="670"/>
      <c r="T48" s="670"/>
      <c r="U48" s="670"/>
      <c r="V48" s="670"/>
      <c r="W48" s="670"/>
      <c r="X48" s="670"/>
      <c r="Y48" s="670"/>
      <c r="Z48" s="843"/>
    </row>
    <row r="49" spans="1:30" ht="19.5" hidden="1" customHeight="1">
      <c r="C49" s="638"/>
      <c r="D49" s="639"/>
      <c r="E49" s="627"/>
      <c r="F49" s="639"/>
      <c r="G49" s="639"/>
      <c r="H49" s="639"/>
      <c r="I49" s="580"/>
      <c r="J49" s="629"/>
      <c r="Q49" s="671"/>
      <c r="R49" s="672"/>
      <c r="S49" s="672"/>
      <c r="T49" s="672"/>
      <c r="U49" s="672"/>
      <c r="V49" s="672"/>
      <c r="W49" s="672"/>
      <c r="X49" s="672"/>
      <c r="Y49" s="672"/>
      <c r="Z49" s="844"/>
    </row>
    <row r="50" spans="1:30" ht="19.5" hidden="1" customHeight="1">
      <c r="C50" s="640"/>
      <c r="D50" s="641"/>
      <c r="E50" s="633"/>
      <c r="F50" s="641"/>
      <c r="G50" s="641"/>
      <c r="H50" s="641"/>
      <c r="I50" s="581"/>
      <c r="J50" s="642"/>
      <c r="Q50" s="686"/>
      <c r="R50" s="687"/>
      <c r="S50" s="687"/>
      <c r="T50" s="687"/>
      <c r="U50" s="687"/>
      <c r="V50" s="687"/>
      <c r="W50" s="687"/>
      <c r="X50" s="687"/>
      <c r="Y50" s="687"/>
      <c r="Z50" s="685"/>
      <c r="AA50" s="210"/>
      <c r="AB50" s="210"/>
      <c r="AC50" s="210"/>
      <c r="AD50" s="210"/>
    </row>
    <row r="51" spans="1:30" ht="19.5" customHeight="1">
      <c r="C51" s="267"/>
      <c r="D51" s="40" t="s">
        <v>162</v>
      </c>
      <c r="E51" s="271" t="s">
        <v>288</v>
      </c>
      <c r="F51" s="271"/>
      <c r="G51" s="271"/>
      <c r="H51" s="272"/>
      <c r="I51" s="129" t="str">
        <f>IF(J51="","※","")</f>
        <v>※</v>
      </c>
      <c r="J51" s="264"/>
      <c r="Q51" s="667" t="s">
        <v>540</v>
      </c>
      <c r="R51" s="668"/>
      <c r="S51" s="668"/>
      <c r="T51" s="668"/>
      <c r="U51" s="668"/>
      <c r="V51" s="668"/>
      <c r="W51" s="668"/>
      <c r="X51" s="668"/>
      <c r="Y51" s="668"/>
      <c r="Z51" s="841"/>
    </row>
    <row r="52" spans="1:30" ht="19.5" customHeight="1">
      <c r="C52" s="267"/>
      <c r="D52" s="520" t="s">
        <v>5297</v>
      </c>
      <c r="E52" s="64" t="s">
        <v>5298</v>
      </c>
      <c r="F52" s="64"/>
      <c r="G52" s="64"/>
      <c r="H52" s="1554"/>
      <c r="I52" s="132" t="str">
        <f>IF(J52="","※","")</f>
        <v>※</v>
      </c>
      <c r="J52" s="522"/>
      <c r="K52" s="1160"/>
      <c r="Q52" s="667" t="s">
        <v>540</v>
      </c>
      <c r="R52" s="668"/>
      <c r="S52" s="668"/>
      <c r="T52" s="668"/>
      <c r="U52" s="668"/>
      <c r="V52" s="668"/>
      <c r="W52" s="668"/>
      <c r="X52" s="668"/>
      <c r="Y52" s="668"/>
      <c r="Z52" s="841"/>
    </row>
    <row r="53" spans="1:30" s="1532" customFormat="1" ht="19.5" customHeight="1">
      <c r="A53" s="3"/>
      <c r="B53" s="3"/>
      <c r="C53" s="1535"/>
      <c r="D53" s="1555"/>
      <c r="E53" s="1556" t="s">
        <v>5299</v>
      </c>
      <c r="F53" s="1557"/>
      <c r="G53" s="1557"/>
      <c r="H53" s="1558"/>
      <c r="I53" s="133" t="str">
        <f>IF(J53="","※","")</f>
        <v>※</v>
      </c>
      <c r="J53" s="1559"/>
      <c r="K53" s="1160"/>
      <c r="L53" s="73"/>
      <c r="M53" s="73"/>
      <c r="N53" s="73"/>
      <c r="O53" s="73"/>
      <c r="P53" s="73"/>
      <c r="Q53" s="667"/>
      <c r="R53" s="668"/>
      <c r="S53" s="668"/>
      <c r="T53" s="668"/>
      <c r="U53" s="668"/>
      <c r="V53" s="668"/>
      <c r="W53" s="668"/>
      <c r="X53" s="668"/>
      <c r="Y53" s="668"/>
      <c r="Z53" s="841"/>
    </row>
    <row r="54" spans="1:30" ht="19.5" customHeight="1">
      <c r="C54" s="267"/>
      <c r="D54" s="520" t="s">
        <v>675</v>
      </c>
      <c r="E54" s="1758" t="s">
        <v>676</v>
      </c>
      <c r="F54" s="1758"/>
      <c r="G54" s="1758"/>
      <c r="H54" s="1759"/>
      <c r="I54" s="135"/>
      <c r="J54" s="136">
        <f>SUMIF(U8:U161,"○",$J$8:$J$161)</f>
        <v>0</v>
      </c>
      <c r="Q54" s="677" t="s">
        <v>540</v>
      </c>
      <c r="R54" s="678"/>
      <c r="S54" s="678"/>
      <c r="T54" s="678"/>
      <c r="U54" s="678"/>
      <c r="V54" s="678"/>
      <c r="W54" s="678"/>
      <c r="X54" s="678"/>
      <c r="Y54" s="678"/>
      <c r="Z54" s="678"/>
    </row>
    <row r="55" spans="1:30" ht="27.75" customHeight="1">
      <c r="C55" s="267"/>
      <c r="D55" s="521"/>
      <c r="E55" s="534" t="s">
        <v>677</v>
      </c>
      <c r="F55" s="1727" t="s">
        <v>678</v>
      </c>
      <c r="G55" s="1727"/>
      <c r="H55" s="1728"/>
      <c r="I55" s="160" t="str">
        <f>IF(J55="","※","")</f>
        <v>※</v>
      </c>
      <c r="J55" s="522"/>
      <c r="Q55" s="688"/>
      <c r="R55" s="689"/>
      <c r="S55" s="689"/>
      <c r="T55" s="689"/>
      <c r="U55" s="689" t="s">
        <v>540</v>
      </c>
      <c r="V55" s="689"/>
      <c r="W55" s="689"/>
      <c r="X55" s="689"/>
      <c r="Y55" s="689"/>
      <c r="Z55" s="847"/>
    </row>
    <row r="56" spans="1:30" ht="27.75" customHeight="1">
      <c r="C56" s="267"/>
      <c r="D56" s="778"/>
      <c r="E56" s="779" t="s">
        <v>1005</v>
      </c>
      <c r="F56" s="1763" t="s">
        <v>1006</v>
      </c>
      <c r="G56" s="1763"/>
      <c r="H56" s="1764"/>
      <c r="I56" s="133" t="str">
        <f>IF(J56="","※","")</f>
        <v>※</v>
      </c>
      <c r="J56" s="780"/>
      <c r="Q56" s="669"/>
      <c r="R56" s="670"/>
      <c r="S56" s="670"/>
      <c r="T56" s="670"/>
      <c r="U56" s="781" t="s">
        <v>1007</v>
      </c>
      <c r="V56" s="670"/>
      <c r="W56" s="670"/>
      <c r="X56" s="670"/>
      <c r="Y56" s="670"/>
      <c r="Z56" s="843"/>
    </row>
    <row r="57" spans="1:30" s="1342" customFormat="1" ht="19.5" customHeight="1">
      <c r="A57" s="1333"/>
      <c r="B57" s="1333"/>
      <c r="C57" s="1551"/>
      <c r="D57" s="1552" t="s">
        <v>286</v>
      </c>
      <c r="E57" s="1722" t="s">
        <v>5409</v>
      </c>
      <c r="F57" s="1722"/>
      <c r="G57" s="1722"/>
      <c r="H57" s="1723"/>
      <c r="I57" s="135" t="str">
        <f>IF(J57="","※","")</f>
        <v>※</v>
      </c>
      <c r="J57" s="1639"/>
      <c r="K57" s="1339"/>
      <c r="L57" s="1339"/>
      <c r="M57" s="1339"/>
      <c r="N57" s="1339"/>
      <c r="O57" s="1339"/>
      <c r="P57" s="1339"/>
      <c r="Q57" s="1346" t="s">
        <v>540</v>
      </c>
      <c r="R57" s="1347"/>
      <c r="S57" s="1347"/>
      <c r="T57" s="1347"/>
      <c r="U57" s="1347"/>
      <c r="V57" s="1347"/>
      <c r="W57" s="1347"/>
      <c r="X57" s="1347"/>
      <c r="Y57" s="1347"/>
      <c r="Z57" s="1348"/>
    </row>
    <row r="58" spans="1:30" ht="19.5" hidden="1" customHeight="1">
      <c r="C58" s="621" t="s">
        <v>548</v>
      </c>
      <c r="D58" s="643"/>
      <c r="E58" s="644"/>
      <c r="F58" s="1729"/>
      <c r="G58" s="1729"/>
      <c r="H58" s="1729"/>
      <c r="I58" s="624"/>
      <c r="J58" s="625"/>
      <c r="Q58" s="669"/>
      <c r="R58" s="670"/>
      <c r="S58" s="670"/>
      <c r="T58" s="670"/>
      <c r="U58" s="670"/>
      <c r="V58" s="670"/>
      <c r="W58" s="670"/>
      <c r="X58" s="670"/>
      <c r="Y58" s="670"/>
      <c r="Z58" s="843"/>
    </row>
    <row r="59" spans="1:30" ht="19.5" hidden="1" customHeight="1">
      <c r="C59" s="645"/>
      <c r="D59" s="641"/>
      <c r="E59" s="641"/>
      <c r="F59" s="641"/>
      <c r="G59" s="641"/>
      <c r="H59" s="641"/>
      <c r="I59" s="581"/>
      <c r="J59" s="642"/>
      <c r="L59" s="4"/>
      <c r="M59" s="4"/>
      <c r="N59" s="4"/>
      <c r="O59" s="4"/>
      <c r="P59" s="4"/>
      <c r="Q59" s="686"/>
      <c r="R59" s="687"/>
      <c r="S59" s="687"/>
      <c r="T59" s="687"/>
      <c r="U59" s="687"/>
      <c r="V59" s="687"/>
      <c r="W59" s="687"/>
      <c r="X59" s="687"/>
      <c r="Y59" s="687"/>
      <c r="Z59" s="685"/>
    </row>
    <row r="60" spans="1:30" ht="21" customHeight="1">
      <c r="C60" s="39" t="s">
        <v>930</v>
      </c>
      <c r="D60" s="35" t="s">
        <v>998</v>
      </c>
      <c r="E60" s="35"/>
      <c r="F60" s="35"/>
      <c r="G60" s="35"/>
      <c r="H60" s="12"/>
      <c r="I60" s="135" t="str">
        <f t="shared" ref="I60" si="5">IF(J60="","※","")</f>
        <v>※</v>
      </c>
      <c r="J60" s="730"/>
      <c r="Q60" s="687"/>
      <c r="R60" s="687"/>
      <c r="S60" s="687"/>
      <c r="T60" s="687"/>
      <c r="U60" s="687"/>
      <c r="V60" s="668" t="s">
        <v>540</v>
      </c>
      <c r="W60" s="687"/>
      <c r="X60" s="687"/>
      <c r="Y60" s="687"/>
      <c r="Z60" s="685"/>
    </row>
    <row r="61" spans="1:30" ht="27.75" customHeight="1">
      <c r="C61" s="39" t="s">
        <v>62</v>
      </c>
      <c r="D61" s="1768" t="s">
        <v>434</v>
      </c>
      <c r="E61" s="1769"/>
      <c r="F61" s="1769"/>
      <c r="G61" s="1769"/>
      <c r="H61" s="1769"/>
      <c r="I61" s="129" t="str">
        <f>IF(J61="","※","")</f>
        <v>※</v>
      </c>
      <c r="J61" s="264"/>
      <c r="Q61" s="667"/>
      <c r="R61" s="668"/>
      <c r="S61" s="668"/>
      <c r="T61" s="668"/>
      <c r="U61" s="668"/>
      <c r="V61" s="668" t="s">
        <v>540</v>
      </c>
      <c r="W61" s="668"/>
      <c r="X61" s="668"/>
      <c r="Y61" s="668"/>
      <c r="Z61" s="841"/>
    </row>
    <row r="62" spans="1:30" ht="19.5" customHeight="1">
      <c r="C62" s="39" t="s">
        <v>63</v>
      </c>
      <c r="D62" s="6" t="s">
        <v>64</v>
      </c>
      <c r="E62" s="6"/>
      <c r="F62" s="6"/>
      <c r="G62" s="6"/>
      <c r="H62" s="5"/>
      <c r="I62" s="135" t="str">
        <f>IF(J62="","※","")</f>
        <v>※</v>
      </c>
      <c r="J62" s="264"/>
      <c r="Q62" s="667"/>
      <c r="R62" s="668"/>
      <c r="S62" s="668"/>
      <c r="T62" s="668"/>
      <c r="U62" s="668"/>
      <c r="V62" s="668" t="s">
        <v>540</v>
      </c>
      <c r="W62" s="668"/>
      <c r="X62" s="668"/>
      <c r="Y62" s="668"/>
      <c r="Z62" s="841"/>
    </row>
    <row r="63" spans="1:30" ht="19.5" customHeight="1">
      <c r="C63" s="39" t="s">
        <v>711</v>
      </c>
      <c r="D63" s="6" t="s">
        <v>289</v>
      </c>
      <c r="E63" s="6"/>
      <c r="F63" s="6"/>
      <c r="G63" s="6"/>
      <c r="H63" s="5"/>
      <c r="I63" s="129"/>
      <c r="J63" s="136">
        <f>SUMIF(V8:V161,"○",$J$8:$J$161)</f>
        <v>0</v>
      </c>
      <c r="K63" s="107"/>
      <c r="L63" s="107"/>
      <c r="M63" s="107"/>
      <c r="N63" s="107"/>
      <c r="O63" s="107"/>
      <c r="P63" s="107"/>
      <c r="Q63" s="677"/>
      <c r="R63" s="678"/>
      <c r="S63" s="678"/>
      <c r="T63" s="678"/>
      <c r="U63" s="678"/>
      <c r="V63" s="678"/>
      <c r="W63" s="678"/>
      <c r="X63" s="678"/>
      <c r="Y63" s="678"/>
      <c r="Z63" s="678"/>
    </row>
    <row r="64" spans="1:30" ht="27" customHeight="1">
      <c r="C64" s="77"/>
      <c r="I64" s="131"/>
      <c r="J64" s="84"/>
      <c r="K64" s="124"/>
      <c r="L64" s="124"/>
      <c r="M64" s="124"/>
      <c r="N64" s="124"/>
      <c r="O64" s="124"/>
      <c r="P64" s="124"/>
      <c r="Q64" s="653"/>
      <c r="R64" s="653"/>
      <c r="S64" s="653"/>
      <c r="T64" s="653"/>
      <c r="U64" s="653"/>
      <c r="V64" s="653"/>
      <c r="W64" s="653"/>
      <c r="X64" s="653"/>
      <c r="Y64" s="653"/>
      <c r="Z64" s="653"/>
    </row>
    <row r="65" spans="1:26" ht="20.25" customHeight="1">
      <c r="C65" s="588"/>
      <c r="D65" s="589" t="s">
        <v>604</v>
      </c>
      <c r="E65" s="6"/>
      <c r="F65" s="6"/>
      <c r="G65" s="6"/>
      <c r="H65" s="5"/>
      <c r="I65" s="129" t="str">
        <f>IF(J65="","※",IF(K65&lt;&gt;"","E",""))</f>
        <v>※</v>
      </c>
      <c r="J65" s="264"/>
      <c r="K65" s="1668" t="str">
        <f>IF(OR(J63=0,J65=""),"",IF(J65&gt;=J63*10,"共通仮設費積算対象額が工事価格を大きく上回っています。確認してください。",""))</f>
        <v/>
      </c>
      <c r="L65" s="107"/>
      <c r="M65" s="107"/>
      <c r="N65" s="107"/>
      <c r="O65" s="107"/>
      <c r="P65" s="107"/>
      <c r="Q65" s="667"/>
      <c r="R65" s="668"/>
      <c r="S65" s="668"/>
      <c r="T65" s="668"/>
      <c r="U65" s="668"/>
      <c r="V65" s="668"/>
      <c r="W65" s="668"/>
      <c r="X65" s="668"/>
      <c r="Y65" s="668"/>
      <c r="Z65" s="841"/>
    </row>
    <row r="66" spans="1:26" ht="20.25" customHeight="1">
      <c r="A66" s="210"/>
      <c r="B66" s="210"/>
      <c r="C66" s="194"/>
      <c r="D66" s="195" t="s">
        <v>393</v>
      </c>
      <c r="E66" s="196"/>
      <c r="F66" s="196"/>
      <c r="G66" s="196"/>
      <c r="H66" s="197"/>
      <c r="I66" s="134" t="str">
        <f>IF(J66&lt;0,"E","")</f>
        <v/>
      </c>
      <c r="J66" s="569">
        <f>(SUMIF(W8:W66,"○",J8:J66))-J92</f>
        <v>0</v>
      </c>
      <c r="K66" s="733"/>
      <c r="L66" s="539"/>
      <c r="M66" s="539"/>
      <c r="N66" s="539"/>
      <c r="O66" s="539"/>
      <c r="P66" s="539"/>
      <c r="Q66" s="690"/>
      <c r="R66" s="691"/>
      <c r="S66" s="691"/>
      <c r="T66" s="691"/>
      <c r="U66" s="691"/>
      <c r="V66" s="691"/>
      <c r="W66" s="691"/>
      <c r="X66" s="691"/>
      <c r="Y66" s="691"/>
      <c r="Z66" s="848"/>
    </row>
    <row r="67" spans="1:26" ht="45.75" customHeight="1">
      <c r="A67" s="210"/>
      <c r="B67" s="210"/>
      <c r="C67" s="1752" t="s">
        <v>394</v>
      </c>
      <c r="D67" s="1753"/>
      <c r="E67" s="1753"/>
      <c r="F67" s="1753"/>
      <c r="G67" s="1753"/>
      <c r="H67" s="1753"/>
      <c r="I67" s="1753"/>
      <c r="J67" s="1753"/>
      <c r="K67" s="41"/>
      <c r="L67" s="41"/>
      <c r="M67" s="41"/>
      <c r="N67" s="41"/>
      <c r="O67" s="41"/>
      <c r="P67" s="41"/>
      <c r="Q67" s="648"/>
      <c r="R67" s="648"/>
      <c r="S67" s="648"/>
      <c r="T67" s="649"/>
      <c r="U67" s="649"/>
      <c r="V67" s="648"/>
      <c r="W67" s="648"/>
      <c r="X67" s="648"/>
      <c r="Y67" s="648"/>
    </row>
    <row r="68" spans="1:26" ht="53.25" hidden="1" customHeight="1">
      <c r="B68" s="210"/>
      <c r="C68" s="1752" t="s">
        <v>296</v>
      </c>
      <c r="D68" s="1753"/>
      <c r="E68" s="1753"/>
      <c r="F68" s="1753"/>
      <c r="G68" s="1753"/>
      <c r="H68" s="1753"/>
      <c r="I68" s="1753"/>
      <c r="J68" s="1753"/>
      <c r="K68" s="128"/>
      <c r="L68" s="128"/>
      <c r="M68" s="128"/>
      <c r="N68" s="128"/>
      <c r="O68" s="128"/>
      <c r="P68" s="128"/>
      <c r="Q68" s="648"/>
      <c r="R68" s="648"/>
      <c r="S68" s="648"/>
      <c r="T68" s="649"/>
      <c r="U68" s="649"/>
      <c r="V68" s="648"/>
      <c r="W68" s="648"/>
      <c r="X68" s="648"/>
      <c r="Y68" s="648"/>
    </row>
    <row r="69" spans="1:26" s="42" customFormat="1" ht="13.5" customHeight="1">
      <c r="A69" s="3"/>
      <c r="B69" s="210"/>
      <c r="C69" s="4"/>
      <c r="D69" s="552"/>
      <c r="E69" s="552"/>
      <c r="F69" s="552"/>
      <c r="G69" s="552"/>
      <c r="H69" s="552"/>
      <c r="I69" s="552"/>
      <c r="J69" s="552"/>
      <c r="K69" s="128"/>
      <c r="L69" s="128"/>
      <c r="M69" s="128"/>
      <c r="N69" s="128"/>
      <c r="O69" s="128"/>
      <c r="P69" s="128"/>
      <c r="Q69" s="649"/>
      <c r="R69" s="649"/>
      <c r="S69" s="649"/>
      <c r="T69" s="649"/>
      <c r="U69" s="649"/>
      <c r="V69" s="648"/>
      <c r="W69" s="648"/>
      <c r="X69" s="648"/>
      <c r="Y69" s="648"/>
    </row>
    <row r="70" spans="1:26" s="42" customFormat="1" ht="24" customHeight="1">
      <c r="A70" s="3"/>
      <c r="B70" s="65" t="s">
        <v>1023</v>
      </c>
      <c r="C70" s="10" t="s">
        <v>1024</v>
      </c>
      <c r="D70" s="804"/>
      <c r="E70" s="804"/>
      <c r="F70" s="804"/>
      <c r="G70" s="804"/>
      <c r="H70" s="804"/>
      <c r="J70" s="552"/>
      <c r="K70" s="552"/>
      <c r="L70" s="128"/>
      <c r="M70" s="128"/>
      <c r="N70" s="128"/>
      <c r="O70" s="128"/>
      <c r="P70" s="128"/>
      <c r="Q70" s="649"/>
      <c r="R70" s="649"/>
      <c r="S70" s="649"/>
      <c r="T70" s="649"/>
      <c r="U70" s="649"/>
      <c r="V70" s="648"/>
      <c r="W70" s="648"/>
      <c r="X70" s="648"/>
      <c r="Y70" s="648"/>
    </row>
    <row r="71" spans="1:26" s="42" customFormat="1" ht="24" customHeight="1">
      <c r="A71" s="3"/>
      <c r="B71" s="4"/>
      <c r="C71" s="582" t="s">
        <v>1025</v>
      </c>
      <c r="D71" s="4"/>
      <c r="E71" s="4"/>
      <c r="F71" s="4"/>
      <c r="G71" s="4"/>
      <c r="H71" s="4"/>
      <c r="I71" s="4"/>
      <c r="J71" s="4"/>
      <c r="K71" s="4"/>
      <c r="L71" s="4"/>
      <c r="M71" s="128"/>
      <c r="N71" s="128"/>
      <c r="O71" s="128"/>
      <c r="P71" s="128"/>
      <c r="Q71" s="649"/>
      <c r="R71" s="649"/>
      <c r="S71" s="649"/>
      <c r="T71" s="649"/>
      <c r="U71" s="649"/>
      <c r="V71" s="648"/>
      <c r="W71" s="648"/>
      <c r="X71" s="648"/>
      <c r="Y71" s="648"/>
    </row>
    <row r="72" spans="1:26" s="42" customFormat="1" ht="24" hidden="1" customHeight="1">
      <c r="A72" s="837"/>
      <c r="B72" s="3"/>
      <c r="C72" s="582" t="s">
        <v>1026</v>
      </c>
      <c r="D72" s="4"/>
      <c r="E72" s="4"/>
      <c r="F72" s="4"/>
      <c r="G72" s="4"/>
      <c r="H72" s="4"/>
      <c r="I72" s="130"/>
      <c r="J72" s="116"/>
      <c r="M72" s="128"/>
      <c r="N72" s="128"/>
      <c r="O72" s="128"/>
      <c r="P72" s="128"/>
      <c r="Q72" s="649"/>
      <c r="R72" s="649"/>
      <c r="S72" s="649"/>
      <c r="T72" s="649"/>
      <c r="U72" s="649"/>
      <c r="V72" s="648"/>
      <c r="W72" s="648"/>
      <c r="X72" s="648"/>
      <c r="Y72" s="648"/>
    </row>
    <row r="73" spans="1:26" s="42" customFormat="1" ht="24" customHeight="1">
      <c r="A73" s="3"/>
      <c r="B73" s="4"/>
      <c r="C73" s="1765" t="s">
        <v>1027</v>
      </c>
      <c r="D73" s="1766"/>
      <c r="E73" s="1750" t="s">
        <v>1028</v>
      </c>
      <c r="F73" s="1767"/>
      <c r="G73" s="1767"/>
      <c r="H73" s="1767"/>
      <c r="I73" s="1767"/>
      <c r="J73" s="1767"/>
      <c r="K73" s="1751"/>
      <c r="L73" s="83"/>
      <c r="M73" s="128"/>
      <c r="N73" s="128"/>
      <c r="O73" s="128"/>
      <c r="P73" s="128"/>
      <c r="Q73" s="649"/>
      <c r="R73" s="649"/>
      <c r="S73" s="649"/>
      <c r="T73" s="649"/>
      <c r="U73" s="649"/>
      <c r="V73" s="648"/>
      <c r="W73" s="648"/>
      <c r="X73" s="648"/>
      <c r="Y73" s="648"/>
    </row>
    <row r="74" spans="1:26" s="42" customFormat="1" ht="24" customHeight="1">
      <c r="A74" s="3"/>
      <c r="B74" s="3"/>
      <c r="C74" s="1750">
        <v>1</v>
      </c>
      <c r="D74" s="1751"/>
      <c r="E74" s="1743" t="s">
        <v>1029</v>
      </c>
      <c r="F74" s="1744"/>
      <c r="G74" s="1744"/>
      <c r="H74" s="1744"/>
      <c r="I74" s="1744"/>
      <c r="J74" s="1744"/>
      <c r="K74" s="1745"/>
      <c r="L74" s="882"/>
      <c r="M74" s="128"/>
      <c r="N74" s="128"/>
      <c r="O74" s="128"/>
      <c r="P74" s="128"/>
      <c r="Q74" s="649"/>
      <c r="R74" s="649"/>
      <c r="S74" s="649"/>
      <c r="T74" s="649"/>
      <c r="U74" s="649"/>
      <c r="V74" s="648"/>
      <c r="W74" s="648"/>
      <c r="X74" s="648"/>
      <c r="Y74" s="648"/>
    </row>
    <row r="75" spans="1:26" s="42" customFormat="1" ht="24" customHeight="1">
      <c r="A75" s="3"/>
      <c r="C75" s="1750">
        <v>2</v>
      </c>
      <c r="D75" s="1751"/>
      <c r="E75" s="1743" t="s">
        <v>1030</v>
      </c>
      <c r="F75" s="1744"/>
      <c r="G75" s="1744"/>
      <c r="H75" s="1744"/>
      <c r="I75" s="1744"/>
      <c r="J75" s="1744"/>
      <c r="K75" s="1745"/>
      <c r="L75" s="882"/>
      <c r="Q75" s="649"/>
      <c r="R75" s="649"/>
      <c r="S75" s="649"/>
      <c r="T75" s="649"/>
      <c r="U75" s="649"/>
      <c r="V75" s="648"/>
      <c r="W75" s="648"/>
      <c r="X75" s="648"/>
      <c r="Y75" s="648"/>
    </row>
    <row r="76" spans="1:26" ht="24" customHeight="1">
      <c r="B76" s="42"/>
      <c r="C76" s="1750">
        <v>5</v>
      </c>
      <c r="D76" s="1751"/>
      <c r="E76" s="1743" t="s">
        <v>1031</v>
      </c>
      <c r="F76" s="1744"/>
      <c r="G76" s="1744"/>
      <c r="H76" s="1744"/>
      <c r="I76" s="1744"/>
      <c r="J76" s="1744"/>
      <c r="K76" s="1745"/>
      <c r="L76" s="882"/>
      <c r="M76" s="42"/>
      <c r="N76" s="42"/>
      <c r="O76" s="42"/>
      <c r="P76" s="42"/>
      <c r="Q76" s="649"/>
      <c r="R76" s="649"/>
      <c r="S76" s="649"/>
      <c r="T76" s="649"/>
      <c r="U76" s="649"/>
      <c r="V76" s="648"/>
      <c r="W76" s="648"/>
      <c r="X76" s="648"/>
      <c r="Y76" s="648"/>
    </row>
    <row r="77" spans="1:26" ht="24" customHeight="1">
      <c r="B77" s="42"/>
      <c r="C77" s="1738">
        <v>7</v>
      </c>
      <c r="D77" s="1738"/>
      <c r="E77" s="1739" t="s">
        <v>1032</v>
      </c>
      <c r="F77" s="1739"/>
      <c r="G77" s="1739"/>
      <c r="H77" s="1739"/>
      <c r="I77" s="1739"/>
      <c r="J77" s="1739"/>
      <c r="K77" s="1739"/>
      <c r="L77" s="882"/>
      <c r="M77" s="42"/>
      <c r="N77" s="42"/>
      <c r="O77" s="42"/>
      <c r="P77" s="42"/>
      <c r="Q77" s="650"/>
      <c r="R77" s="650"/>
      <c r="S77" s="650"/>
      <c r="T77" s="650"/>
      <c r="U77" s="650"/>
      <c r="V77" s="648"/>
      <c r="W77" s="648"/>
      <c r="X77" s="648"/>
      <c r="Y77" s="648"/>
    </row>
    <row r="78" spans="1:26" ht="24" customHeight="1">
      <c r="B78" s="42"/>
      <c r="C78" s="1738">
        <v>8</v>
      </c>
      <c r="D78" s="1738"/>
      <c r="E78" s="1739" t="s">
        <v>1033</v>
      </c>
      <c r="F78" s="1739"/>
      <c r="G78" s="1739"/>
      <c r="H78" s="1739"/>
      <c r="I78" s="1739"/>
      <c r="J78" s="1739"/>
      <c r="K78" s="1739"/>
      <c r="L78" s="882"/>
      <c r="M78" s="42"/>
      <c r="N78" s="42"/>
      <c r="O78" s="42"/>
      <c r="P78" s="42"/>
      <c r="Q78" s="651"/>
      <c r="R78" s="651"/>
      <c r="S78" s="651"/>
      <c r="T78" s="651"/>
      <c r="U78" s="651"/>
      <c r="V78" s="648"/>
      <c r="W78" s="648"/>
      <c r="X78" s="648"/>
      <c r="Y78" s="648"/>
    </row>
    <row r="79" spans="1:26" ht="24" customHeight="1">
      <c r="B79" s="42"/>
      <c r="C79" s="1738">
        <v>9</v>
      </c>
      <c r="D79" s="1738"/>
      <c r="E79" s="1739" t="s">
        <v>1034</v>
      </c>
      <c r="F79" s="1739"/>
      <c r="G79" s="1739"/>
      <c r="H79" s="1739"/>
      <c r="I79" s="1739"/>
      <c r="J79" s="1739"/>
      <c r="K79" s="1739"/>
      <c r="L79" s="882"/>
      <c r="M79" s="42"/>
      <c r="N79" s="42"/>
      <c r="O79" s="42"/>
      <c r="P79" s="42"/>
      <c r="Q79" s="651"/>
      <c r="R79" s="651"/>
      <c r="S79" s="651"/>
      <c r="T79" s="651"/>
      <c r="U79" s="651"/>
      <c r="V79" s="648"/>
      <c r="W79" s="648"/>
      <c r="X79" s="648"/>
      <c r="Y79" s="648"/>
    </row>
    <row r="80" spans="1:26" ht="24" customHeight="1">
      <c r="B80" s="42"/>
      <c r="C80" s="1738" t="s">
        <v>1035</v>
      </c>
      <c r="D80" s="1738"/>
      <c r="E80" s="1739" t="s">
        <v>1036</v>
      </c>
      <c r="F80" s="1739"/>
      <c r="G80" s="1739"/>
      <c r="H80" s="1739"/>
      <c r="I80" s="1739"/>
      <c r="J80" s="1739"/>
      <c r="K80" s="1739"/>
      <c r="L80" s="882"/>
      <c r="M80" s="42"/>
      <c r="N80" s="42"/>
      <c r="O80" s="42"/>
      <c r="P80" s="42"/>
      <c r="Q80" s="651"/>
      <c r="R80" s="651"/>
      <c r="S80" s="651"/>
      <c r="T80" s="651"/>
      <c r="U80" s="651"/>
      <c r="V80" s="648"/>
      <c r="W80" s="648"/>
      <c r="X80" s="648"/>
      <c r="Y80" s="648"/>
    </row>
    <row r="81" spans="2:25" ht="24" customHeight="1">
      <c r="B81" s="597"/>
      <c r="C81" s="10"/>
      <c r="D81" s="805" t="s">
        <v>1037</v>
      </c>
      <c r="E81" s="11"/>
      <c r="F81" s="11"/>
      <c r="G81" s="11"/>
      <c r="H81" s="806"/>
      <c r="I81" s="807"/>
      <c r="J81" s="808" t="s">
        <v>1038</v>
      </c>
      <c r="K81" s="65" t="s">
        <v>204</v>
      </c>
      <c r="L81" s="77"/>
      <c r="M81" s="42"/>
      <c r="N81" s="42"/>
      <c r="O81" s="42"/>
      <c r="P81" s="42"/>
      <c r="Q81" s="651"/>
      <c r="R81" s="651"/>
      <c r="S81" s="651"/>
      <c r="T81" s="651"/>
      <c r="U81" s="651"/>
      <c r="V81" s="648"/>
      <c r="W81" s="648"/>
      <c r="X81" s="648"/>
      <c r="Y81" s="648"/>
    </row>
    <row r="82" spans="2:25" ht="24" customHeight="1">
      <c r="B82" s="797"/>
      <c r="C82" s="809">
        <v>1</v>
      </c>
      <c r="D82" s="810" t="s">
        <v>1039</v>
      </c>
      <c r="E82" s="810"/>
      <c r="F82" s="810"/>
      <c r="G82" s="810"/>
      <c r="H82" s="811"/>
      <c r="I82" s="129" t="str">
        <f>IF(OR(J82="",AND(J82&lt;&gt;0,K82="")),"※","")</f>
        <v>※</v>
      </c>
      <c r="J82" s="730"/>
      <c r="K82" s="526"/>
      <c r="L82" s="895"/>
      <c r="M82" s="42"/>
      <c r="N82" s="42"/>
      <c r="O82" s="42"/>
      <c r="P82" s="42"/>
      <c r="Q82" s="651"/>
      <c r="R82" s="651"/>
      <c r="S82" s="651"/>
      <c r="T82" s="651"/>
      <c r="U82" s="651"/>
      <c r="V82" s="648"/>
      <c r="W82" s="648"/>
      <c r="X82" s="648"/>
      <c r="Y82" s="648"/>
    </row>
    <row r="83" spans="2:25" ht="24" customHeight="1">
      <c r="B83" s="597"/>
      <c r="C83" s="809">
        <v>2</v>
      </c>
      <c r="D83" s="810" t="s">
        <v>1040</v>
      </c>
      <c r="E83" s="810"/>
      <c r="F83" s="810"/>
      <c r="G83" s="810"/>
      <c r="H83" s="811"/>
      <c r="I83" s="129" t="str">
        <f t="shared" ref="I83:I88" si="6">IF(OR(J83="",AND(J83&lt;&gt;0,K83="")),"※","")</f>
        <v>※</v>
      </c>
      <c r="J83" s="730"/>
      <c r="K83" s="526"/>
      <c r="L83" s="895"/>
      <c r="M83" s="42"/>
      <c r="N83" s="42"/>
      <c r="O83" s="42"/>
      <c r="P83" s="42"/>
      <c r="Q83" s="651"/>
      <c r="R83" s="651"/>
      <c r="S83" s="651"/>
      <c r="T83" s="651"/>
      <c r="U83" s="651"/>
      <c r="V83" s="648"/>
      <c r="W83" s="648"/>
      <c r="X83" s="648"/>
      <c r="Y83" s="648"/>
    </row>
    <row r="84" spans="2:25" ht="24" customHeight="1">
      <c r="B84" s="597"/>
      <c r="C84" s="809">
        <v>3</v>
      </c>
      <c r="D84" s="810" t="s">
        <v>1041</v>
      </c>
      <c r="E84" s="810"/>
      <c r="F84" s="810"/>
      <c r="G84" s="810"/>
      <c r="H84" s="811"/>
      <c r="I84" s="129" t="str">
        <f t="shared" si="6"/>
        <v>※</v>
      </c>
      <c r="J84" s="730"/>
      <c r="K84" s="526"/>
      <c r="L84" s="895"/>
      <c r="M84" s="42"/>
      <c r="N84" s="42"/>
      <c r="O84" s="42"/>
      <c r="P84" s="42"/>
      <c r="Q84" s="651"/>
      <c r="R84" s="651"/>
      <c r="S84" s="651"/>
      <c r="T84" s="651"/>
      <c r="U84" s="651"/>
      <c r="V84" s="648"/>
      <c r="W84" s="648"/>
      <c r="X84" s="648"/>
      <c r="Y84" s="648"/>
    </row>
    <row r="85" spans="2:25" ht="24" customHeight="1">
      <c r="C85" s="809">
        <v>4</v>
      </c>
      <c r="D85" s="810" t="s">
        <v>1042</v>
      </c>
      <c r="E85" s="810"/>
      <c r="F85" s="810"/>
      <c r="G85" s="810"/>
      <c r="H85" s="811"/>
      <c r="I85" s="129" t="str">
        <f t="shared" si="6"/>
        <v>※</v>
      </c>
      <c r="J85" s="730"/>
      <c r="K85" s="526"/>
      <c r="L85" s="895"/>
      <c r="M85" s="261"/>
      <c r="N85" s="261"/>
      <c r="O85" s="261"/>
      <c r="P85" s="261"/>
      <c r="Q85" s="651"/>
      <c r="R85" s="651"/>
      <c r="S85" s="651"/>
      <c r="T85" s="651"/>
      <c r="U85" s="651"/>
      <c r="V85" s="648"/>
      <c r="W85" s="648"/>
      <c r="X85" s="648"/>
      <c r="Y85" s="648"/>
    </row>
    <row r="86" spans="2:25" ht="24" customHeight="1">
      <c r="B86" s="597"/>
      <c r="C86" s="809">
        <v>5</v>
      </c>
      <c r="D86" s="810" t="s">
        <v>1043</v>
      </c>
      <c r="E86" s="810"/>
      <c r="F86" s="810"/>
      <c r="G86" s="810"/>
      <c r="H86" s="811"/>
      <c r="I86" s="129" t="str">
        <f t="shared" si="6"/>
        <v>※</v>
      </c>
      <c r="J86" s="730"/>
      <c r="K86" s="526"/>
      <c r="L86" s="895"/>
      <c r="M86" s="549"/>
      <c r="N86" s="549"/>
      <c r="O86" s="549"/>
      <c r="P86" s="549"/>
      <c r="Q86" s="651"/>
      <c r="R86" s="651"/>
      <c r="S86" s="651"/>
      <c r="T86" s="651"/>
      <c r="U86" s="651"/>
      <c r="V86" s="648"/>
      <c r="W86" s="648"/>
      <c r="X86" s="648"/>
      <c r="Y86" s="648"/>
    </row>
    <row r="87" spans="2:25" ht="24" customHeight="1">
      <c r="B87" s="797"/>
      <c r="C87" s="809">
        <v>6</v>
      </c>
      <c r="D87" s="810" t="s">
        <v>1044</v>
      </c>
      <c r="E87" s="810"/>
      <c r="F87" s="810"/>
      <c r="G87" s="810"/>
      <c r="H87" s="811"/>
      <c r="I87" s="129" t="str">
        <f t="shared" si="6"/>
        <v>※</v>
      </c>
      <c r="J87" s="730"/>
      <c r="K87" s="526"/>
      <c r="L87" s="895"/>
      <c r="M87" s="549"/>
      <c r="N87" s="549"/>
      <c r="O87" s="549"/>
      <c r="P87" s="549"/>
      <c r="Q87" s="651"/>
      <c r="R87" s="651"/>
      <c r="S87" s="651"/>
      <c r="T87" s="651"/>
      <c r="U87" s="651"/>
      <c r="V87" s="648"/>
      <c r="W87" s="648"/>
      <c r="X87" s="648"/>
      <c r="Y87" s="648"/>
    </row>
    <row r="88" spans="2:25" ht="24" customHeight="1">
      <c r="B88" s="597"/>
      <c r="C88" s="809">
        <v>7</v>
      </c>
      <c r="D88" s="1746" t="s">
        <v>1045</v>
      </c>
      <c r="E88" s="1747"/>
      <c r="F88" s="1747"/>
      <c r="G88" s="1747"/>
      <c r="H88" s="1748"/>
      <c r="I88" s="129" t="str">
        <f t="shared" si="6"/>
        <v>※</v>
      </c>
      <c r="J88" s="730"/>
      <c r="K88" s="526"/>
      <c r="L88" s="895"/>
      <c r="M88" s="549"/>
      <c r="N88" s="549"/>
      <c r="O88" s="549"/>
      <c r="P88" s="549"/>
      <c r="Q88" s="651"/>
      <c r="R88" s="651"/>
      <c r="S88" s="651"/>
      <c r="T88" s="651"/>
      <c r="U88" s="651"/>
      <c r="V88" s="648"/>
      <c r="W88" s="648"/>
      <c r="X88" s="648"/>
      <c r="Y88" s="648"/>
    </row>
    <row r="89" spans="2:25" ht="24" customHeight="1">
      <c r="B89" s="597"/>
      <c r="C89" s="809">
        <v>8</v>
      </c>
      <c r="D89" s="812" t="s">
        <v>1046</v>
      </c>
      <c r="E89" s="813"/>
      <c r="F89" s="813"/>
      <c r="G89" s="813"/>
      <c r="H89" s="814"/>
      <c r="I89" s="129" t="str">
        <f>IF(OR(J89="",AND(J89&lt;&gt;0,K89="")),"※","")</f>
        <v>※</v>
      </c>
      <c r="J89" s="730"/>
      <c r="K89" s="526"/>
      <c r="L89" s="895"/>
      <c r="M89" s="549"/>
      <c r="N89" s="549"/>
      <c r="O89" s="549"/>
      <c r="P89" s="549"/>
      <c r="Q89" s="651"/>
      <c r="R89" s="651"/>
      <c r="S89" s="651"/>
      <c r="T89" s="651"/>
      <c r="U89" s="651"/>
      <c r="V89" s="648"/>
      <c r="W89" s="648"/>
      <c r="X89" s="648"/>
      <c r="Y89" s="648"/>
    </row>
    <row r="90" spans="2:25" ht="24" customHeight="1">
      <c r="C90" s="1785">
        <v>9</v>
      </c>
      <c r="D90" s="813" t="s">
        <v>142</v>
      </c>
      <c r="E90" s="813"/>
      <c r="F90" s="813"/>
      <c r="G90" s="813"/>
      <c r="H90" s="814"/>
      <c r="I90" s="132" t="str">
        <f>IF(OR(J90="",AND(J90&lt;&gt;0,K90="")),"※","")</f>
        <v>※</v>
      </c>
      <c r="J90" s="815"/>
      <c r="K90" s="1777"/>
      <c r="L90" s="896"/>
      <c r="M90" s="549"/>
      <c r="N90" s="549"/>
      <c r="O90" s="549"/>
      <c r="P90" s="549"/>
      <c r="Q90" s="651"/>
      <c r="R90" s="651"/>
      <c r="S90" s="651"/>
      <c r="T90" s="651"/>
      <c r="U90" s="651"/>
      <c r="V90" s="648"/>
      <c r="W90" s="648"/>
      <c r="X90" s="648"/>
      <c r="Y90" s="648"/>
    </row>
    <row r="91" spans="2:25" ht="24" customHeight="1">
      <c r="B91" s="597"/>
      <c r="C91" s="1786"/>
      <c r="D91" s="816"/>
      <c r="E91" s="817"/>
      <c r="F91" s="818" t="s">
        <v>1047</v>
      </c>
      <c r="G91" s="819"/>
      <c r="H91" s="819"/>
      <c r="I91" s="135" t="str">
        <f>IF(J90=0,"",IF(J91="","※",""))</f>
        <v/>
      </c>
      <c r="J91" s="820"/>
      <c r="K91" s="1778"/>
      <c r="L91" s="896"/>
      <c r="M91" s="549"/>
      <c r="N91" s="549"/>
      <c r="O91" s="549"/>
      <c r="P91" s="549"/>
      <c r="Q91" s="651"/>
      <c r="R91" s="651"/>
      <c r="S91" s="651"/>
      <c r="T91" s="651"/>
      <c r="U91" s="651"/>
      <c r="V91" s="648"/>
      <c r="W91" s="648"/>
      <c r="X91" s="648"/>
      <c r="Y91" s="648"/>
    </row>
    <row r="92" spans="2:25" ht="24" customHeight="1">
      <c r="B92" s="797"/>
      <c r="C92" s="16" t="s">
        <v>1048</v>
      </c>
      <c r="D92" s="11"/>
      <c r="E92" s="11"/>
      <c r="F92" s="11"/>
      <c r="G92" s="11"/>
      <c r="H92" s="806"/>
      <c r="I92" s="129"/>
      <c r="J92" s="136">
        <f>SUM(J82:J90)</f>
        <v>0</v>
      </c>
      <c r="M92" s="549"/>
      <c r="N92" s="549"/>
      <c r="O92" s="549"/>
      <c r="P92" s="549"/>
      <c r="Q92" s="651"/>
      <c r="R92" s="651"/>
      <c r="S92" s="651"/>
      <c r="T92" s="651"/>
      <c r="U92" s="651"/>
      <c r="V92" s="648"/>
      <c r="W92" s="648"/>
      <c r="X92" s="648"/>
      <c r="Y92" s="648"/>
    </row>
    <row r="93" spans="2:25">
      <c r="C93" s="597"/>
      <c r="E93" s="597"/>
      <c r="H93" s="598"/>
      <c r="J93" s="599"/>
      <c r="K93" s="596"/>
      <c r="L93" s="549"/>
      <c r="M93" s="549"/>
      <c r="N93" s="549"/>
      <c r="O93" s="549"/>
      <c r="P93" s="549"/>
      <c r="Q93" s="651"/>
      <c r="R93" s="651"/>
      <c r="S93" s="651"/>
      <c r="T93" s="651"/>
      <c r="U93" s="651"/>
      <c r="V93" s="648"/>
      <c r="W93" s="648"/>
      <c r="X93" s="648"/>
      <c r="Y93" s="648"/>
    </row>
    <row r="94" spans="2:25" ht="36" hidden="1" customHeight="1">
      <c r="B94" s="596"/>
      <c r="C94" s="210"/>
      <c r="D94" s="210"/>
      <c r="F94" s="1760"/>
      <c r="G94" s="1761"/>
      <c r="H94" s="1761"/>
      <c r="I94" s="1761"/>
      <c r="J94" s="1762"/>
      <c r="K94" s="596"/>
      <c r="L94" s="549"/>
      <c r="M94" s="549"/>
      <c r="N94" s="549"/>
      <c r="O94" s="549"/>
      <c r="P94" s="549"/>
      <c r="Q94" s="651"/>
      <c r="R94" s="651"/>
      <c r="S94" s="651"/>
      <c r="T94" s="651"/>
      <c r="U94" s="651"/>
      <c r="V94" s="648"/>
      <c r="W94" s="648"/>
      <c r="X94" s="648"/>
      <c r="Y94" s="648"/>
    </row>
    <row r="95" spans="2:25" ht="13.5" hidden="1" customHeight="1">
      <c r="B95" s="210"/>
      <c r="C95" s="801"/>
      <c r="D95" s="18"/>
      <c r="E95" s="800"/>
      <c r="H95" s="598"/>
      <c r="J95" s="799"/>
      <c r="K95" s="596"/>
      <c r="L95" s="549"/>
      <c r="M95" s="549"/>
      <c r="N95" s="549"/>
      <c r="O95" s="549"/>
      <c r="P95" s="549"/>
      <c r="Q95" s="651"/>
      <c r="R95" s="651"/>
      <c r="S95" s="651"/>
      <c r="T95" s="651"/>
      <c r="U95" s="651"/>
      <c r="V95" s="648"/>
      <c r="W95" s="648"/>
      <c r="X95" s="648"/>
      <c r="Y95" s="648"/>
    </row>
    <row r="96" spans="2:25" ht="13.5" hidden="1" customHeight="1">
      <c r="B96" s="210"/>
      <c r="C96" s="798"/>
      <c r="E96" s="800"/>
      <c r="H96" s="598"/>
      <c r="J96" s="799"/>
      <c r="K96" s="596"/>
      <c r="L96" s="549"/>
      <c r="M96" s="549"/>
      <c r="N96" s="549"/>
      <c r="O96" s="549"/>
      <c r="P96" s="549"/>
      <c r="Q96" s="651"/>
      <c r="R96" s="651"/>
      <c r="S96" s="651"/>
      <c r="T96" s="651"/>
      <c r="U96" s="651"/>
      <c r="V96" s="648"/>
      <c r="W96" s="648"/>
      <c r="X96" s="648"/>
      <c r="Y96" s="648"/>
    </row>
    <row r="97" spans="2:25" ht="13.5" hidden="1" customHeight="1">
      <c r="B97" s="210"/>
      <c r="C97" s="798"/>
      <c r="E97" s="800"/>
      <c r="H97" s="598"/>
      <c r="J97" s="799"/>
      <c r="K97" s="596"/>
      <c r="L97" s="549"/>
      <c r="M97" s="549"/>
      <c r="N97" s="549"/>
      <c r="O97" s="549"/>
      <c r="P97" s="549"/>
      <c r="Q97" s="651"/>
      <c r="R97" s="651"/>
      <c r="S97" s="651"/>
      <c r="T97" s="651"/>
      <c r="U97" s="651"/>
      <c r="V97" s="648"/>
      <c r="W97" s="648"/>
      <c r="X97" s="648"/>
      <c r="Y97" s="648"/>
    </row>
    <row r="98" spans="2:25" ht="13.5" hidden="1" customHeight="1">
      <c r="B98" s="210"/>
      <c r="C98" s="210"/>
      <c r="E98" s="798"/>
      <c r="F98" s="210"/>
      <c r="G98" s="802"/>
      <c r="H98" s="802"/>
      <c r="J98" s="803"/>
      <c r="K98" s="596"/>
      <c r="L98" s="549"/>
      <c r="M98" s="549"/>
      <c r="N98" s="549"/>
      <c r="O98" s="549"/>
      <c r="P98" s="549"/>
      <c r="Q98" s="651"/>
      <c r="R98" s="651"/>
      <c r="S98" s="651"/>
      <c r="T98" s="651"/>
      <c r="U98" s="651"/>
      <c r="V98" s="648"/>
      <c r="W98" s="648"/>
      <c r="X98" s="648"/>
      <c r="Y98" s="648"/>
    </row>
    <row r="99" spans="2:25" ht="13.5" hidden="1" customHeight="1">
      <c r="B99" s="210"/>
      <c r="C99" s="210"/>
      <c r="E99" s="798"/>
      <c r="F99" s="210"/>
      <c r="G99" s="802"/>
      <c r="H99" s="802"/>
      <c r="J99" s="803"/>
      <c r="K99" s="596"/>
      <c r="L99" s="549"/>
      <c r="M99" s="549"/>
      <c r="N99" s="549"/>
      <c r="O99" s="549"/>
      <c r="P99" s="549"/>
      <c r="Q99" s="651"/>
      <c r="R99" s="651"/>
      <c r="S99" s="651"/>
      <c r="T99" s="651"/>
      <c r="U99" s="651"/>
      <c r="V99" s="648"/>
      <c r="W99" s="648"/>
      <c r="X99" s="648"/>
      <c r="Y99" s="648"/>
    </row>
    <row r="100" spans="2:25" ht="13.5" hidden="1" customHeight="1">
      <c r="B100" s="210"/>
      <c r="C100" s="210"/>
      <c r="E100" s="798"/>
      <c r="F100" s="210"/>
      <c r="G100" s="802"/>
      <c r="H100" s="802"/>
      <c r="J100" s="803"/>
      <c r="K100" s="596"/>
      <c r="L100" s="549"/>
      <c r="M100" s="549"/>
      <c r="N100" s="549"/>
      <c r="O100" s="549"/>
      <c r="P100" s="549"/>
      <c r="Q100" s="651"/>
      <c r="R100" s="651"/>
      <c r="S100" s="651"/>
      <c r="T100" s="651"/>
      <c r="U100" s="651"/>
      <c r="V100" s="648"/>
      <c r="W100" s="648"/>
      <c r="X100" s="648"/>
      <c r="Y100" s="648"/>
    </row>
    <row r="101" spans="2:25" ht="13.5" hidden="1" customHeight="1">
      <c r="B101" s="210"/>
      <c r="C101" s="210"/>
      <c r="E101" s="798"/>
      <c r="F101" s="210"/>
      <c r="G101" s="802"/>
      <c r="H101" s="802"/>
      <c r="J101" s="803"/>
      <c r="K101" s="596"/>
      <c r="L101" s="549"/>
      <c r="M101" s="549"/>
      <c r="N101" s="549"/>
      <c r="O101" s="549"/>
      <c r="P101" s="549"/>
      <c r="Q101" s="651"/>
      <c r="R101" s="651"/>
      <c r="S101" s="651"/>
      <c r="T101" s="651"/>
      <c r="U101" s="651"/>
      <c r="V101" s="648"/>
      <c r="W101" s="648"/>
      <c r="X101" s="648"/>
      <c r="Y101" s="648"/>
    </row>
    <row r="102" spans="2:25" ht="13.5" hidden="1" customHeight="1">
      <c r="B102" s="210"/>
      <c r="C102" s="210"/>
      <c r="E102" s="798"/>
      <c r="F102" s="210"/>
      <c r="G102" s="802"/>
      <c r="H102" s="802"/>
      <c r="J102" s="803"/>
      <c r="K102" s="596"/>
      <c r="L102" s="549"/>
      <c r="M102" s="549"/>
      <c r="N102" s="549"/>
      <c r="O102" s="549"/>
      <c r="P102" s="549"/>
      <c r="Q102" s="651"/>
      <c r="R102" s="651"/>
      <c r="S102" s="651"/>
      <c r="T102" s="651"/>
      <c r="U102" s="651"/>
      <c r="V102" s="648"/>
      <c r="W102" s="648"/>
      <c r="X102" s="648"/>
      <c r="Y102" s="648"/>
    </row>
    <row r="103" spans="2:25" ht="35.25" hidden="1" customHeight="1">
      <c r="B103" s="210"/>
      <c r="C103" s="798"/>
      <c r="E103" s="798"/>
      <c r="F103" s="210"/>
      <c r="G103" s="210"/>
      <c r="H103" s="210"/>
      <c r="J103" s="799"/>
      <c r="K103" s="596"/>
      <c r="L103" s="549"/>
      <c r="M103" s="549"/>
      <c r="N103" s="549"/>
      <c r="O103" s="549"/>
      <c r="P103" s="549"/>
      <c r="Q103" s="651"/>
      <c r="R103" s="651"/>
      <c r="S103" s="651"/>
      <c r="T103" s="651"/>
      <c r="U103" s="651"/>
      <c r="V103" s="648"/>
      <c r="W103" s="648"/>
      <c r="X103" s="648"/>
      <c r="Y103" s="648"/>
    </row>
    <row r="104" spans="2:25" ht="13.5" hidden="1" customHeight="1">
      <c r="B104" s="210"/>
      <c r="C104" s="801"/>
      <c r="D104" s="18"/>
      <c r="E104" s="798"/>
      <c r="F104" s="210"/>
      <c r="G104" s="210"/>
      <c r="H104" s="802"/>
      <c r="J104" s="799"/>
      <c r="K104" s="596"/>
      <c r="L104" s="549"/>
      <c r="M104" s="549"/>
      <c r="N104" s="549"/>
      <c r="O104" s="549"/>
      <c r="P104" s="549"/>
      <c r="Q104" s="651"/>
      <c r="R104" s="651"/>
      <c r="S104" s="651"/>
      <c r="T104" s="651"/>
      <c r="U104" s="651"/>
      <c r="V104" s="648"/>
      <c r="W104" s="648"/>
      <c r="X104" s="648"/>
      <c r="Y104" s="648"/>
    </row>
    <row r="105" spans="2:25" ht="13.5" hidden="1" customHeight="1">
      <c r="C105" s="798"/>
      <c r="E105" s="798"/>
      <c r="F105" s="210"/>
      <c r="G105" s="210"/>
      <c r="H105" s="802"/>
      <c r="J105" s="799"/>
      <c r="K105" s="596"/>
      <c r="L105" s="549"/>
      <c r="M105" s="549"/>
      <c r="N105" s="549"/>
      <c r="O105" s="549"/>
      <c r="P105" s="549"/>
      <c r="Q105" s="651"/>
      <c r="R105" s="651"/>
      <c r="S105" s="651"/>
      <c r="T105" s="651"/>
      <c r="U105" s="651"/>
      <c r="V105" s="648"/>
      <c r="W105" s="648"/>
      <c r="X105" s="648"/>
      <c r="Y105" s="648"/>
    </row>
    <row r="106" spans="2:25" ht="13.5" hidden="1" customHeight="1">
      <c r="C106" s="798"/>
      <c r="E106" s="798"/>
      <c r="F106" s="210"/>
      <c r="G106" s="210"/>
      <c r="H106" s="802"/>
      <c r="J106" s="799"/>
      <c r="K106" s="596"/>
      <c r="L106" s="549"/>
      <c r="M106" s="549"/>
      <c r="N106" s="549"/>
      <c r="O106" s="549"/>
      <c r="P106" s="549"/>
      <c r="Q106" s="651"/>
      <c r="R106" s="651"/>
      <c r="S106" s="651"/>
      <c r="T106" s="651"/>
      <c r="U106" s="651"/>
      <c r="V106" s="648"/>
      <c r="W106" s="648"/>
      <c r="X106" s="648"/>
      <c r="Y106" s="648"/>
    </row>
    <row r="107" spans="2:25" ht="13.5" hidden="1" customHeight="1">
      <c r="C107" s="210"/>
      <c r="E107" s="798"/>
      <c r="F107" s="210"/>
      <c r="G107" s="802"/>
      <c r="H107" s="802"/>
      <c r="J107" s="803"/>
      <c r="K107" s="596"/>
      <c r="L107" s="549"/>
      <c r="M107" s="549"/>
      <c r="N107" s="549"/>
      <c r="O107" s="549"/>
      <c r="P107" s="549"/>
      <c r="Q107" s="651"/>
      <c r="R107" s="651"/>
      <c r="S107" s="651"/>
      <c r="T107" s="651"/>
      <c r="U107" s="651"/>
      <c r="V107" s="648"/>
      <c r="W107" s="648"/>
      <c r="X107" s="648"/>
      <c r="Y107" s="648"/>
    </row>
    <row r="108" spans="2:25" ht="13.5" hidden="1" customHeight="1">
      <c r="C108" s="210"/>
      <c r="E108" s="798"/>
      <c r="F108" s="210"/>
      <c r="G108" s="802"/>
      <c r="H108" s="802"/>
      <c r="J108" s="803"/>
      <c r="K108" s="596"/>
      <c r="L108" s="549"/>
      <c r="M108" s="549"/>
      <c r="N108" s="549"/>
      <c r="O108" s="549"/>
      <c r="P108" s="549"/>
      <c r="Q108" s="651"/>
      <c r="R108" s="651"/>
      <c r="S108" s="651"/>
      <c r="T108" s="651"/>
      <c r="U108" s="651"/>
      <c r="V108" s="648"/>
      <c r="W108" s="648"/>
      <c r="X108" s="648"/>
      <c r="Y108" s="648"/>
    </row>
    <row r="109" spans="2:25" ht="13.5" hidden="1" customHeight="1">
      <c r="C109" s="210"/>
      <c r="E109" s="798"/>
      <c r="F109" s="210"/>
      <c r="G109" s="802"/>
      <c r="H109" s="802"/>
      <c r="J109" s="803"/>
      <c r="K109" s="596"/>
      <c r="L109" s="549"/>
      <c r="M109" s="549"/>
      <c r="N109" s="549"/>
      <c r="O109" s="549"/>
      <c r="P109" s="549"/>
      <c r="Q109" s="652"/>
      <c r="R109" s="652"/>
      <c r="S109" s="652"/>
      <c r="T109" s="652"/>
      <c r="U109" s="652"/>
      <c r="V109" s="648"/>
      <c r="W109" s="648"/>
      <c r="X109" s="648"/>
      <c r="Y109" s="648"/>
    </row>
    <row r="110" spans="2:25" ht="13.5" hidden="1" customHeight="1">
      <c r="C110" s="210"/>
      <c r="E110" s="798"/>
      <c r="F110" s="210"/>
      <c r="G110" s="802"/>
      <c r="H110" s="802"/>
      <c r="J110" s="803"/>
      <c r="K110" s="596"/>
      <c r="L110" s="549"/>
      <c r="M110" s="549"/>
      <c r="N110" s="549"/>
      <c r="O110" s="549"/>
      <c r="P110" s="549"/>
      <c r="Q110" s="652"/>
      <c r="R110" s="652"/>
      <c r="S110" s="652"/>
      <c r="T110" s="652"/>
      <c r="U110" s="652"/>
      <c r="V110" s="648"/>
      <c r="W110" s="648"/>
      <c r="X110" s="648"/>
      <c r="Y110" s="648"/>
    </row>
    <row r="111" spans="2:25" ht="13.5" hidden="1" customHeight="1">
      <c r="C111" s="210"/>
      <c r="E111" s="798"/>
      <c r="F111" s="210"/>
      <c r="G111" s="802"/>
      <c r="H111" s="802"/>
      <c r="J111" s="803"/>
      <c r="K111" s="596"/>
      <c r="L111" s="549"/>
      <c r="M111" s="549"/>
      <c r="N111" s="549"/>
      <c r="O111" s="549"/>
      <c r="P111" s="549"/>
      <c r="Q111" s="651"/>
      <c r="R111" s="651"/>
      <c r="S111" s="651"/>
      <c r="T111" s="651"/>
      <c r="U111" s="651"/>
      <c r="V111" s="648"/>
      <c r="W111" s="648"/>
      <c r="X111" s="648"/>
      <c r="Y111" s="648"/>
    </row>
    <row r="112" spans="2:25" ht="35.25" hidden="1" customHeight="1">
      <c r="C112" s="798"/>
      <c r="E112" s="798"/>
      <c r="F112" s="210"/>
      <c r="G112" s="210"/>
      <c r="H112" s="210"/>
      <c r="J112" s="799"/>
      <c r="K112" s="596"/>
      <c r="L112" s="549"/>
      <c r="M112" s="549"/>
      <c r="N112" s="549"/>
      <c r="O112" s="549"/>
      <c r="P112" s="549"/>
      <c r="Q112" s="651"/>
      <c r="R112" s="651"/>
      <c r="S112" s="651"/>
      <c r="T112" s="651"/>
      <c r="U112" s="651"/>
      <c r="V112" s="648"/>
      <c r="W112" s="648"/>
      <c r="X112" s="648"/>
      <c r="Y112" s="648"/>
    </row>
    <row r="113" spans="2:25" ht="13.5" hidden="1" customHeight="1">
      <c r="C113" s="597"/>
      <c r="E113" s="597"/>
      <c r="H113" s="598"/>
      <c r="J113" s="599"/>
      <c r="K113" s="596"/>
      <c r="L113" s="549"/>
      <c r="M113" s="549"/>
      <c r="N113" s="549"/>
      <c r="O113" s="549"/>
      <c r="P113" s="549"/>
      <c r="Q113" s="651"/>
      <c r="R113" s="651"/>
      <c r="S113" s="651"/>
      <c r="T113" s="651"/>
      <c r="U113" s="651"/>
      <c r="V113" s="648"/>
      <c r="W113" s="648"/>
      <c r="X113" s="648"/>
      <c r="Y113" s="648"/>
    </row>
    <row r="114" spans="2:25" ht="22.5" hidden="1" customHeight="1">
      <c r="C114" s="597"/>
      <c r="E114" s="597"/>
      <c r="H114" s="598"/>
      <c r="J114" s="599"/>
      <c r="K114" s="596"/>
      <c r="L114" s="549"/>
      <c r="M114" s="549"/>
      <c r="N114" s="549"/>
      <c r="O114" s="549"/>
      <c r="P114" s="549"/>
      <c r="Q114" s="651"/>
      <c r="R114" s="651"/>
      <c r="S114" s="651"/>
      <c r="T114" s="651"/>
      <c r="U114" s="651"/>
      <c r="V114" s="648"/>
      <c r="W114" s="648"/>
      <c r="X114" s="648"/>
      <c r="Y114" s="648"/>
    </row>
    <row r="115" spans="2:25" ht="24" customHeight="1">
      <c r="B115" s="821" t="s">
        <v>1049</v>
      </c>
      <c r="C115" s="1782" t="s">
        <v>700</v>
      </c>
      <c r="D115" s="1783"/>
      <c r="E115" s="1783"/>
      <c r="F115" s="1784"/>
      <c r="G115" s="18"/>
      <c r="H115" s="18"/>
      <c r="I115" s="84"/>
      <c r="J115" s="553"/>
      <c r="Q115" s="647"/>
      <c r="R115" s="647"/>
      <c r="S115" s="647"/>
      <c r="T115" s="647"/>
      <c r="U115" s="647"/>
      <c r="V115" s="648"/>
      <c r="W115" s="648"/>
      <c r="X115" s="648"/>
      <c r="Y115" s="648"/>
    </row>
    <row r="116" spans="2:25" ht="24" customHeight="1">
      <c r="C116" s="286" t="s">
        <v>598</v>
      </c>
      <c r="D116" s="154"/>
      <c r="E116" s="154"/>
      <c r="F116" s="154"/>
      <c r="G116" s="154"/>
      <c r="H116" s="154"/>
      <c r="I116" s="154"/>
      <c r="J116" s="154"/>
      <c r="K116" s="154"/>
      <c r="Q116" s="647"/>
      <c r="R116" s="647"/>
      <c r="S116" s="647"/>
      <c r="T116" s="647"/>
      <c r="U116" s="647"/>
      <c r="V116" s="648"/>
      <c r="W116" s="648"/>
      <c r="X116" s="648"/>
      <c r="Y116" s="648"/>
    </row>
    <row r="117" spans="2:25" ht="24" customHeight="1">
      <c r="C117" s="1779" t="s">
        <v>232</v>
      </c>
      <c r="D117" s="1780"/>
      <c r="E117" s="1780"/>
      <c r="F117" s="1780"/>
      <c r="G117" s="1780"/>
      <c r="H117" s="1780"/>
      <c r="I117" s="1780"/>
      <c r="J117" s="1781"/>
      <c r="K117" s="528"/>
      <c r="Q117" s="647"/>
      <c r="R117" s="647"/>
      <c r="S117" s="647"/>
      <c r="T117" s="647"/>
      <c r="U117" s="647"/>
      <c r="V117" s="648"/>
      <c r="W117" s="648"/>
      <c r="X117" s="648"/>
      <c r="Y117" s="648"/>
    </row>
    <row r="118" spans="2:25" ht="24" customHeight="1">
      <c r="C118" s="542" t="s">
        <v>111</v>
      </c>
      <c r="D118" s="543"/>
      <c r="E118" s="261"/>
      <c r="F118" s="261"/>
      <c r="G118" s="261"/>
      <c r="H118" s="261"/>
      <c r="I118" s="547" t="str">
        <f>IF(J118&lt;&gt;J119,"E","")</f>
        <v/>
      </c>
      <c r="J118" s="544">
        <f>J41</f>
        <v>0</v>
      </c>
      <c r="K118" s="4"/>
      <c r="Q118" s="647"/>
      <c r="R118" s="647"/>
      <c r="S118" s="647"/>
      <c r="T118" s="647"/>
      <c r="U118" s="647"/>
      <c r="V118" s="648"/>
      <c r="W118" s="648"/>
      <c r="X118" s="648"/>
      <c r="Y118" s="648"/>
    </row>
    <row r="119" spans="2:25" ht="24" customHeight="1">
      <c r="C119" s="208" t="s">
        <v>307</v>
      </c>
      <c r="D119" s="540"/>
      <c r="E119" s="541"/>
      <c r="F119" s="541"/>
      <c r="G119" s="541"/>
      <c r="H119" s="541"/>
      <c r="I119" s="525" t="str">
        <f>IF(J118&lt;&gt;J119,"E","")</f>
        <v/>
      </c>
      <c r="J119" s="544">
        <f>SUMIF(Y121:Y161,"○",J121:J161)</f>
        <v>0</v>
      </c>
      <c r="K119" s="4"/>
      <c r="Q119" s="647"/>
      <c r="R119" s="647"/>
      <c r="S119" s="647"/>
      <c r="T119" s="647"/>
      <c r="U119" s="647"/>
      <c r="V119" s="648"/>
      <c r="W119" s="648"/>
      <c r="X119" s="648"/>
      <c r="Y119" s="648"/>
    </row>
    <row r="120" spans="2:25" ht="24" customHeight="1">
      <c r="C120" s="1774" t="s">
        <v>597</v>
      </c>
      <c r="D120" s="1775"/>
      <c r="E120" s="1775"/>
      <c r="F120" s="1775"/>
      <c r="G120" s="1775"/>
      <c r="H120" s="1776"/>
      <c r="I120" s="1772" t="s">
        <v>192</v>
      </c>
      <c r="J120" s="1773"/>
      <c r="K120" s="4"/>
      <c r="Q120" s="647"/>
      <c r="R120" s="647"/>
      <c r="S120" s="647"/>
      <c r="T120" s="647"/>
      <c r="U120" s="647"/>
      <c r="V120" s="648"/>
      <c r="W120" s="648"/>
      <c r="X120" s="648"/>
      <c r="Y120" s="648"/>
    </row>
    <row r="121" spans="2:25" ht="24" customHeight="1">
      <c r="C121" s="546" t="str">
        <f t="shared" ref="C121:C160" si="7">IF(AND(J121&lt;&gt;"",E121=""),"※","")</f>
        <v/>
      </c>
      <c r="D121" s="751">
        <v>1</v>
      </c>
      <c r="E121" s="1755"/>
      <c r="F121" s="1756"/>
      <c r="G121" s="1756"/>
      <c r="H121" s="1757"/>
      <c r="I121" s="752" t="str">
        <f>IF(AND(E121&lt;&gt;"",J121=""),"※","")</f>
        <v/>
      </c>
      <c r="J121" s="753"/>
      <c r="K121" s="4"/>
      <c r="Q121" s="647"/>
      <c r="R121" s="647"/>
      <c r="S121" s="647"/>
      <c r="T121" s="647"/>
      <c r="U121" s="647"/>
      <c r="V121" s="648"/>
      <c r="W121" s="648"/>
      <c r="X121" s="648"/>
      <c r="Y121" s="721" t="s">
        <v>991</v>
      </c>
    </row>
    <row r="122" spans="2:25" ht="24" customHeight="1">
      <c r="C122" s="546" t="str">
        <f t="shared" si="7"/>
        <v/>
      </c>
      <c r="D122" s="754">
        <v>2</v>
      </c>
      <c r="E122" s="1740"/>
      <c r="F122" s="1741"/>
      <c r="G122" s="1741"/>
      <c r="H122" s="1742"/>
      <c r="I122" s="755" t="str">
        <f t="shared" ref="I122:I160" si="8">IF(AND(E122&lt;&gt;"",J122=""),"※","")</f>
        <v/>
      </c>
      <c r="J122" s="756"/>
      <c r="K122" s="4"/>
      <c r="Q122" s="647"/>
      <c r="R122" s="647"/>
      <c r="S122" s="647"/>
      <c r="T122" s="647"/>
      <c r="U122" s="647"/>
      <c r="V122" s="648"/>
      <c r="W122" s="648"/>
      <c r="X122" s="648"/>
      <c r="Y122" s="719" t="s">
        <v>540</v>
      </c>
    </row>
    <row r="123" spans="2:25" ht="24" customHeight="1">
      <c r="C123" s="546" t="str">
        <f t="shared" si="7"/>
        <v/>
      </c>
      <c r="D123" s="754">
        <v>3</v>
      </c>
      <c r="E123" s="1740"/>
      <c r="F123" s="1741"/>
      <c r="G123" s="1741"/>
      <c r="H123" s="1742"/>
      <c r="I123" s="755" t="str">
        <f t="shared" si="8"/>
        <v/>
      </c>
      <c r="J123" s="756"/>
      <c r="K123" s="4"/>
      <c r="Q123" s="647"/>
      <c r="R123" s="647"/>
      <c r="S123" s="647"/>
      <c r="T123" s="647"/>
      <c r="U123" s="647"/>
      <c r="V123" s="648"/>
      <c r="W123" s="648"/>
      <c r="X123" s="648"/>
      <c r="Y123" s="719" t="s">
        <v>540</v>
      </c>
    </row>
    <row r="124" spans="2:25" ht="24" customHeight="1">
      <c r="C124" s="546" t="str">
        <f t="shared" si="7"/>
        <v/>
      </c>
      <c r="D124" s="754">
        <v>4</v>
      </c>
      <c r="E124" s="1740"/>
      <c r="F124" s="1741"/>
      <c r="G124" s="1741"/>
      <c r="H124" s="1742"/>
      <c r="I124" s="755" t="str">
        <f t="shared" si="8"/>
        <v/>
      </c>
      <c r="J124" s="756"/>
      <c r="K124" s="4"/>
      <c r="Q124" s="647"/>
      <c r="R124" s="647"/>
      <c r="S124" s="647"/>
      <c r="T124" s="647"/>
      <c r="U124" s="647"/>
      <c r="V124" s="648"/>
      <c r="W124" s="648"/>
      <c r="X124" s="648"/>
      <c r="Y124" s="719" t="s">
        <v>540</v>
      </c>
    </row>
    <row r="125" spans="2:25" ht="24" customHeight="1">
      <c r="C125" s="546" t="str">
        <f t="shared" si="7"/>
        <v/>
      </c>
      <c r="D125" s="754">
        <v>5</v>
      </c>
      <c r="E125" s="1740"/>
      <c r="F125" s="1741"/>
      <c r="G125" s="1741"/>
      <c r="H125" s="1742"/>
      <c r="I125" s="755" t="str">
        <f t="shared" si="8"/>
        <v/>
      </c>
      <c r="J125" s="756"/>
      <c r="K125" s="4"/>
      <c r="Q125" s="647"/>
      <c r="R125" s="647"/>
      <c r="S125" s="647"/>
      <c r="T125" s="647"/>
      <c r="U125" s="647"/>
      <c r="V125" s="648"/>
      <c r="W125" s="648"/>
      <c r="X125" s="648"/>
      <c r="Y125" s="719" t="s">
        <v>540</v>
      </c>
    </row>
    <row r="126" spans="2:25" ht="24" customHeight="1">
      <c r="C126" s="546" t="str">
        <f t="shared" si="7"/>
        <v/>
      </c>
      <c r="D126" s="754">
        <v>6</v>
      </c>
      <c r="E126" s="1740"/>
      <c r="F126" s="1741"/>
      <c r="G126" s="1741"/>
      <c r="H126" s="1742"/>
      <c r="I126" s="755" t="str">
        <f t="shared" si="8"/>
        <v/>
      </c>
      <c r="J126" s="756"/>
      <c r="K126" s="4"/>
      <c r="Q126" s="647"/>
      <c r="R126" s="647"/>
      <c r="S126" s="647"/>
      <c r="T126" s="647"/>
      <c r="U126" s="647"/>
      <c r="V126" s="648"/>
      <c r="W126" s="648"/>
      <c r="X126" s="648"/>
      <c r="Y126" s="719" t="s">
        <v>540</v>
      </c>
    </row>
    <row r="127" spans="2:25" ht="24" customHeight="1">
      <c r="C127" s="546" t="str">
        <f t="shared" si="7"/>
        <v/>
      </c>
      <c r="D127" s="754">
        <v>7</v>
      </c>
      <c r="E127" s="1740"/>
      <c r="F127" s="1741"/>
      <c r="G127" s="1741"/>
      <c r="H127" s="1742"/>
      <c r="I127" s="755" t="str">
        <f t="shared" si="8"/>
        <v/>
      </c>
      <c r="J127" s="756"/>
      <c r="K127" s="4"/>
      <c r="Q127" s="647"/>
      <c r="R127" s="647"/>
      <c r="S127" s="647"/>
      <c r="T127" s="647"/>
      <c r="U127" s="647"/>
      <c r="V127" s="648"/>
      <c r="W127" s="648"/>
      <c r="X127" s="648"/>
      <c r="Y127" s="719" t="s">
        <v>540</v>
      </c>
    </row>
    <row r="128" spans="2:25" ht="24" customHeight="1">
      <c r="C128" s="546" t="str">
        <f t="shared" si="7"/>
        <v/>
      </c>
      <c r="D128" s="754">
        <v>8</v>
      </c>
      <c r="E128" s="1740"/>
      <c r="F128" s="1741"/>
      <c r="G128" s="1741"/>
      <c r="H128" s="1742"/>
      <c r="I128" s="755" t="str">
        <f t="shared" si="8"/>
        <v/>
      </c>
      <c r="J128" s="756"/>
      <c r="K128" s="4"/>
      <c r="Q128" s="647"/>
      <c r="R128" s="647"/>
      <c r="S128" s="647"/>
      <c r="T128" s="647"/>
      <c r="U128" s="647"/>
      <c r="V128" s="648"/>
      <c r="W128" s="648"/>
      <c r="X128" s="648"/>
      <c r="Y128" s="719" t="s">
        <v>540</v>
      </c>
    </row>
    <row r="129" spans="3:25" ht="24" customHeight="1">
      <c r="C129" s="546" t="str">
        <f t="shared" si="7"/>
        <v/>
      </c>
      <c r="D129" s="754">
        <v>9</v>
      </c>
      <c r="E129" s="1740"/>
      <c r="F129" s="1741"/>
      <c r="G129" s="1741"/>
      <c r="H129" s="1742"/>
      <c r="I129" s="755" t="str">
        <f t="shared" si="8"/>
        <v/>
      </c>
      <c r="J129" s="756"/>
      <c r="K129" s="4"/>
      <c r="Q129" s="647"/>
      <c r="R129" s="647"/>
      <c r="S129" s="647"/>
      <c r="T129" s="647"/>
      <c r="U129" s="647"/>
      <c r="V129" s="648"/>
      <c r="W129" s="648"/>
      <c r="X129" s="648"/>
      <c r="Y129" s="719" t="s">
        <v>540</v>
      </c>
    </row>
    <row r="130" spans="3:25" ht="24" customHeight="1">
      <c r="C130" s="546" t="str">
        <f t="shared" si="7"/>
        <v/>
      </c>
      <c r="D130" s="754">
        <v>10</v>
      </c>
      <c r="E130" s="1740"/>
      <c r="F130" s="1741"/>
      <c r="G130" s="1741"/>
      <c r="H130" s="1742"/>
      <c r="I130" s="755" t="str">
        <f t="shared" si="8"/>
        <v/>
      </c>
      <c r="J130" s="756"/>
      <c r="K130" s="4"/>
      <c r="Q130" s="647"/>
      <c r="R130" s="647"/>
      <c r="S130" s="647"/>
      <c r="T130" s="647"/>
      <c r="U130" s="647"/>
      <c r="V130" s="648"/>
      <c r="W130" s="648"/>
      <c r="X130" s="648"/>
      <c r="Y130" s="719" t="s">
        <v>540</v>
      </c>
    </row>
    <row r="131" spans="3:25" ht="24" customHeight="1">
      <c r="C131" s="546" t="str">
        <f t="shared" si="7"/>
        <v/>
      </c>
      <c r="D131" s="754">
        <v>11</v>
      </c>
      <c r="E131" s="1740"/>
      <c r="F131" s="1741"/>
      <c r="G131" s="1741"/>
      <c r="H131" s="1742"/>
      <c r="I131" s="755" t="str">
        <f t="shared" si="8"/>
        <v/>
      </c>
      <c r="J131" s="756"/>
      <c r="K131" s="4"/>
      <c r="Q131" s="647"/>
      <c r="R131" s="647"/>
      <c r="S131" s="647"/>
      <c r="T131" s="647"/>
      <c r="U131" s="647"/>
      <c r="V131" s="648"/>
      <c r="W131" s="648"/>
      <c r="X131" s="648"/>
      <c r="Y131" s="719" t="s">
        <v>540</v>
      </c>
    </row>
    <row r="132" spans="3:25" ht="24" customHeight="1">
      <c r="C132" s="546" t="str">
        <f t="shared" si="7"/>
        <v/>
      </c>
      <c r="D132" s="754">
        <v>12</v>
      </c>
      <c r="E132" s="1740"/>
      <c r="F132" s="1741"/>
      <c r="G132" s="1741"/>
      <c r="H132" s="1742"/>
      <c r="I132" s="755" t="str">
        <f t="shared" si="8"/>
        <v/>
      </c>
      <c r="J132" s="756"/>
      <c r="K132" s="4"/>
      <c r="Q132" s="647"/>
      <c r="R132" s="647"/>
      <c r="S132" s="647"/>
      <c r="T132" s="647"/>
      <c r="U132" s="647"/>
      <c r="V132" s="648"/>
      <c r="W132" s="648"/>
      <c r="X132" s="648"/>
      <c r="Y132" s="719" t="s">
        <v>540</v>
      </c>
    </row>
    <row r="133" spans="3:25" ht="24" customHeight="1">
      <c r="C133" s="546" t="str">
        <f t="shared" si="7"/>
        <v/>
      </c>
      <c r="D133" s="754">
        <v>13</v>
      </c>
      <c r="E133" s="1740"/>
      <c r="F133" s="1741"/>
      <c r="G133" s="1741"/>
      <c r="H133" s="1742"/>
      <c r="I133" s="755" t="str">
        <f t="shared" si="8"/>
        <v/>
      </c>
      <c r="J133" s="756"/>
      <c r="K133" s="4"/>
      <c r="Q133" s="647"/>
      <c r="R133" s="647"/>
      <c r="S133" s="647"/>
      <c r="T133" s="647"/>
      <c r="U133" s="647"/>
      <c r="V133" s="648"/>
      <c r="W133" s="648"/>
      <c r="X133" s="648"/>
      <c r="Y133" s="719" t="s">
        <v>540</v>
      </c>
    </row>
    <row r="134" spans="3:25" ht="24" customHeight="1">
      <c r="C134" s="546" t="str">
        <f t="shared" si="7"/>
        <v/>
      </c>
      <c r="D134" s="754">
        <v>14</v>
      </c>
      <c r="E134" s="1740"/>
      <c r="F134" s="1741"/>
      <c r="G134" s="1741"/>
      <c r="H134" s="1742"/>
      <c r="I134" s="755" t="str">
        <f t="shared" si="8"/>
        <v/>
      </c>
      <c r="J134" s="756"/>
      <c r="K134" s="4"/>
      <c r="Q134" s="647"/>
      <c r="R134" s="647"/>
      <c r="S134" s="647"/>
      <c r="T134" s="647"/>
      <c r="U134" s="647"/>
      <c r="V134" s="648"/>
      <c r="W134" s="648"/>
      <c r="X134" s="648"/>
      <c r="Y134" s="719" t="s">
        <v>540</v>
      </c>
    </row>
    <row r="135" spans="3:25" ht="24" customHeight="1">
      <c r="C135" s="546" t="str">
        <f t="shared" si="7"/>
        <v/>
      </c>
      <c r="D135" s="754">
        <v>15</v>
      </c>
      <c r="E135" s="1740"/>
      <c r="F135" s="1741"/>
      <c r="G135" s="1741"/>
      <c r="H135" s="1742"/>
      <c r="I135" s="755" t="str">
        <f t="shared" si="8"/>
        <v/>
      </c>
      <c r="J135" s="756"/>
      <c r="K135" s="4"/>
      <c r="Q135" s="647"/>
      <c r="R135" s="647"/>
      <c r="S135" s="647"/>
      <c r="T135" s="647"/>
      <c r="U135" s="647"/>
      <c r="V135" s="648"/>
      <c r="W135" s="648"/>
      <c r="X135" s="648"/>
      <c r="Y135" s="719" t="s">
        <v>540</v>
      </c>
    </row>
    <row r="136" spans="3:25" ht="24" customHeight="1">
      <c r="C136" s="546" t="str">
        <f t="shared" si="7"/>
        <v/>
      </c>
      <c r="D136" s="754">
        <v>16</v>
      </c>
      <c r="E136" s="1740"/>
      <c r="F136" s="1741"/>
      <c r="G136" s="1741"/>
      <c r="H136" s="1742"/>
      <c r="I136" s="755" t="str">
        <f t="shared" si="8"/>
        <v/>
      </c>
      <c r="J136" s="756"/>
      <c r="K136" s="4"/>
      <c r="Q136" s="647"/>
      <c r="R136" s="647"/>
      <c r="S136" s="647"/>
      <c r="T136" s="647"/>
      <c r="U136" s="647"/>
      <c r="V136" s="648"/>
      <c r="W136" s="648"/>
      <c r="X136" s="648"/>
      <c r="Y136" s="719" t="s">
        <v>540</v>
      </c>
    </row>
    <row r="137" spans="3:25" ht="24" customHeight="1">
      <c r="C137" s="546" t="str">
        <f t="shared" si="7"/>
        <v/>
      </c>
      <c r="D137" s="754">
        <v>17</v>
      </c>
      <c r="E137" s="1740"/>
      <c r="F137" s="1741"/>
      <c r="G137" s="1741"/>
      <c r="H137" s="1742"/>
      <c r="I137" s="755" t="str">
        <f t="shared" si="8"/>
        <v/>
      </c>
      <c r="J137" s="756"/>
      <c r="K137" s="4"/>
      <c r="Q137" s="647"/>
      <c r="R137" s="647"/>
      <c r="S137" s="647"/>
      <c r="T137" s="647"/>
      <c r="U137" s="647"/>
      <c r="V137" s="648"/>
      <c r="W137" s="648"/>
      <c r="X137" s="648"/>
      <c r="Y137" s="719" t="s">
        <v>540</v>
      </c>
    </row>
    <row r="138" spans="3:25" ht="24" customHeight="1">
      <c r="C138" s="546" t="str">
        <f t="shared" si="7"/>
        <v/>
      </c>
      <c r="D138" s="754">
        <v>18</v>
      </c>
      <c r="E138" s="1740"/>
      <c r="F138" s="1741"/>
      <c r="G138" s="1741"/>
      <c r="H138" s="1742"/>
      <c r="I138" s="755" t="str">
        <f t="shared" si="8"/>
        <v/>
      </c>
      <c r="J138" s="756"/>
      <c r="K138" s="4"/>
      <c r="Q138" s="647"/>
      <c r="R138" s="647"/>
      <c r="S138" s="647"/>
      <c r="T138" s="647"/>
      <c r="U138" s="647"/>
      <c r="V138" s="648"/>
      <c r="W138" s="648"/>
      <c r="X138" s="648"/>
      <c r="Y138" s="719" t="s">
        <v>540</v>
      </c>
    </row>
    <row r="139" spans="3:25" ht="24" customHeight="1">
      <c r="C139" s="546" t="str">
        <f t="shared" si="7"/>
        <v/>
      </c>
      <c r="D139" s="754">
        <v>19</v>
      </c>
      <c r="E139" s="1740"/>
      <c r="F139" s="1741"/>
      <c r="G139" s="1741"/>
      <c r="H139" s="1742"/>
      <c r="I139" s="755" t="str">
        <f t="shared" si="8"/>
        <v/>
      </c>
      <c r="J139" s="756"/>
      <c r="K139" s="4"/>
      <c r="Q139" s="647"/>
      <c r="R139" s="647"/>
      <c r="S139" s="647"/>
      <c r="T139" s="647"/>
      <c r="U139" s="647"/>
      <c r="V139" s="648"/>
      <c r="W139" s="648"/>
      <c r="X139" s="648"/>
      <c r="Y139" s="719" t="s">
        <v>540</v>
      </c>
    </row>
    <row r="140" spans="3:25" ht="24" customHeight="1">
      <c r="C140" s="546" t="str">
        <f t="shared" si="7"/>
        <v/>
      </c>
      <c r="D140" s="754">
        <v>20</v>
      </c>
      <c r="E140" s="1740"/>
      <c r="F140" s="1741"/>
      <c r="G140" s="1741"/>
      <c r="H140" s="1742"/>
      <c r="I140" s="755" t="str">
        <f t="shared" si="8"/>
        <v/>
      </c>
      <c r="J140" s="756"/>
      <c r="K140" s="4"/>
      <c r="Q140" s="647"/>
      <c r="R140" s="647"/>
      <c r="S140" s="647"/>
      <c r="T140" s="647"/>
      <c r="U140" s="647"/>
      <c r="V140" s="648"/>
      <c r="W140" s="648"/>
      <c r="X140" s="648"/>
      <c r="Y140" s="719" t="s">
        <v>540</v>
      </c>
    </row>
    <row r="141" spans="3:25" ht="24" customHeight="1">
      <c r="C141" s="546" t="str">
        <f t="shared" si="7"/>
        <v/>
      </c>
      <c r="D141" s="754">
        <v>21</v>
      </c>
      <c r="E141" s="1740"/>
      <c r="F141" s="1741"/>
      <c r="G141" s="1741"/>
      <c r="H141" s="1742"/>
      <c r="I141" s="755" t="str">
        <f t="shared" si="8"/>
        <v/>
      </c>
      <c r="J141" s="756"/>
      <c r="K141" s="4"/>
      <c r="Q141" s="647"/>
      <c r="R141" s="647"/>
      <c r="S141" s="647"/>
      <c r="T141" s="647"/>
      <c r="U141" s="647"/>
      <c r="V141" s="648"/>
      <c r="W141" s="648"/>
      <c r="X141" s="648"/>
      <c r="Y141" s="719" t="s">
        <v>540</v>
      </c>
    </row>
    <row r="142" spans="3:25" ht="24" customHeight="1">
      <c r="C142" s="546" t="str">
        <f t="shared" si="7"/>
        <v/>
      </c>
      <c r="D142" s="754">
        <v>22</v>
      </c>
      <c r="E142" s="1740"/>
      <c r="F142" s="1741"/>
      <c r="G142" s="1741"/>
      <c r="H142" s="1742"/>
      <c r="I142" s="755" t="str">
        <f t="shared" si="8"/>
        <v/>
      </c>
      <c r="J142" s="756"/>
      <c r="K142" s="4"/>
      <c r="Q142" s="647"/>
      <c r="R142" s="647"/>
      <c r="S142" s="647"/>
      <c r="T142" s="647"/>
      <c r="U142" s="647"/>
      <c r="V142" s="648"/>
      <c r="W142" s="648"/>
      <c r="X142" s="648"/>
      <c r="Y142" s="719" t="s">
        <v>540</v>
      </c>
    </row>
    <row r="143" spans="3:25" ht="24" customHeight="1">
      <c r="C143" s="546" t="str">
        <f t="shared" si="7"/>
        <v/>
      </c>
      <c r="D143" s="754">
        <v>23</v>
      </c>
      <c r="E143" s="1740"/>
      <c r="F143" s="1741"/>
      <c r="G143" s="1741"/>
      <c r="H143" s="1742"/>
      <c r="I143" s="755" t="str">
        <f t="shared" si="8"/>
        <v/>
      </c>
      <c r="J143" s="756"/>
      <c r="K143" s="4"/>
      <c r="Q143" s="647"/>
      <c r="R143" s="647"/>
      <c r="S143" s="647"/>
      <c r="T143" s="647"/>
      <c r="U143" s="647"/>
      <c r="V143" s="648"/>
      <c r="W143" s="648"/>
      <c r="X143" s="648"/>
      <c r="Y143" s="719" t="s">
        <v>540</v>
      </c>
    </row>
    <row r="144" spans="3:25" ht="24" customHeight="1">
      <c r="C144" s="546" t="str">
        <f t="shared" si="7"/>
        <v/>
      </c>
      <c r="D144" s="754">
        <v>24</v>
      </c>
      <c r="E144" s="1740"/>
      <c r="F144" s="1741"/>
      <c r="G144" s="1741"/>
      <c r="H144" s="1742"/>
      <c r="I144" s="755" t="str">
        <f t="shared" si="8"/>
        <v/>
      </c>
      <c r="J144" s="756"/>
      <c r="K144" s="4"/>
      <c r="Q144" s="647"/>
      <c r="R144" s="647"/>
      <c r="S144" s="647"/>
      <c r="T144" s="647"/>
      <c r="U144" s="647"/>
      <c r="V144" s="648"/>
      <c r="W144" s="648"/>
      <c r="X144" s="648"/>
      <c r="Y144" s="719" t="s">
        <v>540</v>
      </c>
    </row>
    <row r="145" spans="3:25" ht="24" customHeight="1">
      <c r="C145" s="546" t="str">
        <f t="shared" si="7"/>
        <v/>
      </c>
      <c r="D145" s="754">
        <v>25</v>
      </c>
      <c r="E145" s="1740"/>
      <c r="F145" s="1741"/>
      <c r="G145" s="1741"/>
      <c r="H145" s="1742"/>
      <c r="I145" s="755" t="str">
        <f t="shared" si="8"/>
        <v/>
      </c>
      <c r="J145" s="756"/>
      <c r="K145" s="4"/>
      <c r="Q145" s="647"/>
      <c r="R145" s="647"/>
      <c r="S145" s="647"/>
      <c r="T145" s="647"/>
      <c r="U145" s="647"/>
      <c r="V145" s="648"/>
      <c r="W145" s="648"/>
      <c r="X145" s="648"/>
      <c r="Y145" s="719" t="s">
        <v>540</v>
      </c>
    </row>
    <row r="146" spans="3:25" ht="24" customHeight="1">
      <c r="C146" s="546" t="str">
        <f t="shared" si="7"/>
        <v/>
      </c>
      <c r="D146" s="754">
        <v>26</v>
      </c>
      <c r="E146" s="1740"/>
      <c r="F146" s="1741"/>
      <c r="G146" s="1741"/>
      <c r="H146" s="1742"/>
      <c r="I146" s="755" t="str">
        <f t="shared" si="8"/>
        <v/>
      </c>
      <c r="J146" s="756"/>
      <c r="K146" s="4"/>
      <c r="Q146" s="647"/>
      <c r="R146" s="647"/>
      <c r="S146" s="647"/>
      <c r="T146" s="647"/>
      <c r="U146" s="647"/>
      <c r="V146" s="648"/>
      <c r="W146" s="648"/>
      <c r="X146" s="648"/>
      <c r="Y146" s="719" t="s">
        <v>540</v>
      </c>
    </row>
    <row r="147" spans="3:25" ht="24" customHeight="1">
      <c r="C147" s="546" t="str">
        <f t="shared" si="7"/>
        <v/>
      </c>
      <c r="D147" s="754">
        <v>27</v>
      </c>
      <c r="E147" s="1740"/>
      <c r="F147" s="1741"/>
      <c r="G147" s="1741"/>
      <c r="H147" s="1742"/>
      <c r="I147" s="755" t="str">
        <f t="shared" si="8"/>
        <v/>
      </c>
      <c r="J147" s="756"/>
      <c r="K147" s="4"/>
      <c r="Q147" s="647"/>
      <c r="R147" s="647"/>
      <c r="S147" s="647"/>
      <c r="T147" s="647"/>
      <c r="U147" s="647"/>
      <c r="V147" s="648"/>
      <c r="W147" s="648"/>
      <c r="X147" s="648"/>
      <c r="Y147" s="719" t="s">
        <v>540</v>
      </c>
    </row>
    <row r="148" spans="3:25" ht="24" customHeight="1">
      <c r="C148" s="546" t="str">
        <f t="shared" si="7"/>
        <v/>
      </c>
      <c r="D148" s="754">
        <v>28</v>
      </c>
      <c r="E148" s="1740"/>
      <c r="F148" s="1741"/>
      <c r="G148" s="1741"/>
      <c r="H148" s="1742"/>
      <c r="I148" s="755" t="str">
        <f t="shared" si="8"/>
        <v/>
      </c>
      <c r="J148" s="756"/>
      <c r="K148" s="4"/>
      <c r="Q148" s="647"/>
      <c r="R148" s="647"/>
      <c r="S148" s="647"/>
      <c r="T148" s="647"/>
      <c r="U148" s="647"/>
      <c r="V148" s="648"/>
      <c r="W148" s="648"/>
      <c r="X148" s="648"/>
      <c r="Y148" s="719" t="s">
        <v>540</v>
      </c>
    </row>
    <row r="149" spans="3:25" ht="24" customHeight="1">
      <c r="C149" s="546" t="str">
        <f t="shared" si="7"/>
        <v/>
      </c>
      <c r="D149" s="754">
        <v>29</v>
      </c>
      <c r="E149" s="1740"/>
      <c r="F149" s="1741"/>
      <c r="G149" s="1741"/>
      <c r="H149" s="1742"/>
      <c r="I149" s="755" t="str">
        <f t="shared" si="8"/>
        <v/>
      </c>
      <c r="J149" s="756"/>
      <c r="K149" s="4"/>
      <c r="Q149" s="647"/>
      <c r="R149" s="647"/>
      <c r="S149" s="647"/>
      <c r="T149" s="647"/>
      <c r="U149" s="647"/>
      <c r="V149" s="648"/>
      <c r="W149" s="648"/>
      <c r="X149" s="648"/>
      <c r="Y149" s="719" t="s">
        <v>540</v>
      </c>
    </row>
    <row r="150" spans="3:25" ht="24" customHeight="1">
      <c r="C150" s="546" t="str">
        <f t="shared" si="7"/>
        <v/>
      </c>
      <c r="D150" s="754">
        <v>30</v>
      </c>
      <c r="E150" s="1740"/>
      <c r="F150" s="1741"/>
      <c r="G150" s="1741"/>
      <c r="H150" s="1742"/>
      <c r="I150" s="755" t="str">
        <f t="shared" si="8"/>
        <v/>
      </c>
      <c r="J150" s="756"/>
      <c r="K150" s="4"/>
      <c r="Q150" s="647"/>
      <c r="R150" s="647"/>
      <c r="S150" s="647"/>
      <c r="T150" s="647"/>
      <c r="U150" s="647"/>
      <c r="V150" s="648"/>
      <c r="W150" s="648"/>
      <c r="X150" s="648"/>
      <c r="Y150" s="719" t="s">
        <v>540</v>
      </c>
    </row>
    <row r="151" spans="3:25" ht="24" customHeight="1">
      <c r="C151" s="546" t="str">
        <f t="shared" si="7"/>
        <v/>
      </c>
      <c r="D151" s="754">
        <v>31</v>
      </c>
      <c r="E151" s="1740"/>
      <c r="F151" s="1741"/>
      <c r="G151" s="1741"/>
      <c r="H151" s="1742"/>
      <c r="I151" s="755" t="str">
        <f t="shared" si="8"/>
        <v/>
      </c>
      <c r="J151" s="756"/>
      <c r="K151" s="4"/>
      <c r="Q151" s="647"/>
      <c r="R151" s="647"/>
      <c r="S151" s="647"/>
      <c r="T151" s="647"/>
      <c r="U151" s="647"/>
      <c r="V151" s="648"/>
      <c r="W151" s="648"/>
      <c r="X151" s="648"/>
      <c r="Y151" s="719" t="s">
        <v>540</v>
      </c>
    </row>
    <row r="152" spans="3:25" ht="24" customHeight="1">
      <c r="C152" s="546" t="str">
        <f t="shared" si="7"/>
        <v/>
      </c>
      <c r="D152" s="754">
        <v>32</v>
      </c>
      <c r="E152" s="1740"/>
      <c r="F152" s="1741"/>
      <c r="G152" s="1741"/>
      <c r="H152" s="1742"/>
      <c r="I152" s="755" t="str">
        <f t="shared" si="8"/>
        <v/>
      </c>
      <c r="J152" s="756"/>
      <c r="K152" s="4"/>
      <c r="Q152" s="647"/>
      <c r="R152" s="647"/>
      <c r="S152" s="647"/>
      <c r="T152" s="647"/>
      <c r="U152" s="647"/>
      <c r="V152" s="648"/>
      <c r="W152" s="648"/>
      <c r="X152" s="648"/>
      <c r="Y152" s="719" t="s">
        <v>540</v>
      </c>
    </row>
    <row r="153" spans="3:25" ht="24" customHeight="1">
      <c r="C153" s="546" t="str">
        <f t="shared" si="7"/>
        <v/>
      </c>
      <c r="D153" s="754">
        <v>33</v>
      </c>
      <c r="E153" s="1740"/>
      <c r="F153" s="1741"/>
      <c r="G153" s="1741"/>
      <c r="H153" s="1742"/>
      <c r="I153" s="755" t="str">
        <f t="shared" si="8"/>
        <v/>
      </c>
      <c r="J153" s="756"/>
      <c r="K153" s="4"/>
      <c r="Q153" s="647"/>
      <c r="R153" s="647"/>
      <c r="S153" s="647"/>
      <c r="T153" s="647"/>
      <c r="U153" s="647"/>
      <c r="V153" s="648"/>
      <c r="W153" s="648"/>
      <c r="X153" s="648"/>
      <c r="Y153" s="719" t="s">
        <v>540</v>
      </c>
    </row>
    <row r="154" spans="3:25" ht="24" customHeight="1">
      <c r="C154" s="546" t="str">
        <f t="shared" si="7"/>
        <v/>
      </c>
      <c r="D154" s="754">
        <v>34</v>
      </c>
      <c r="E154" s="1740"/>
      <c r="F154" s="1741"/>
      <c r="G154" s="1741"/>
      <c r="H154" s="1742"/>
      <c r="I154" s="755" t="str">
        <f t="shared" si="8"/>
        <v/>
      </c>
      <c r="J154" s="756"/>
      <c r="K154" s="4"/>
      <c r="Q154" s="647"/>
      <c r="R154" s="647"/>
      <c r="S154" s="647"/>
      <c r="T154" s="647"/>
      <c r="U154" s="647"/>
      <c r="V154" s="648"/>
      <c r="W154" s="648"/>
      <c r="X154" s="648"/>
      <c r="Y154" s="719" t="s">
        <v>540</v>
      </c>
    </row>
    <row r="155" spans="3:25" ht="24" customHeight="1">
      <c r="C155" s="546" t="str">
        <f t="shared" si="7"/>
        <v/>
      </c>
      <c r="D155" s="754">
        <v>35</v>
      </c>
      <c r="E155" s="1740"/>
      <c r="F155" s="1741"/>
      <c r="G155" s="1741"/>
      <c r="H155" s="1742"/>
      <c r="I155" s="755" t="str">
        <f t="shared" si="8"/>
        <v/>
      </c>
      <c r="J155" s="756"/>
      <c r="K155" s="4"/>
      <c r="Q155" s="647"/>
      <c r="R155" s="647"/>
      <c r="S155" s="647"/>
      <c r="T155" s="647"/>
      <c r="U155" s="647"/>
      <c r="V155" s="648"/>
      <c r="W155" s="648"/>
      <c r="X155" s="648"/>
      <c r="Y155" s="719" t="s">
        <v>540</v>
      </c>
    </row>
    <row r="156" spans="3:25" ht="24" customHeight="1">
      <c r="C156" s="546" t="str">
        <f t="shared" si="7"/>
        <v/>
      </c>
      <c r="D156" s="754">
        <v>36</v>
      </c>
      <c r="E156" s="1740"/>
      <c r="F156" s="1741"/>
      <c r="G156" s="1741"/>
      <c r="H156" s="1742"/>
      <c r="I156" s="755" t="str">
        <f t="shared" si="8"/>
        <v/>
      </c>
      <c r="J156" s="756"/>
      <c r="K156" s="4"/>
      <c r="Q156" s="647"/>
      <c r="R156" s="647"/>
      <c r="S156" s="647"/>
      <c r="T156" s="647"/>
      <c r="U156" s="647"/>
      <c r="V156" s="648"/>
      <c r="W156" s="648"/>
      <c r="X156" s="648"/>
      <c r="Y156" s="719" t="s">
        <v>540</v>
      </c>
    </row>
    <row r="157" spans="3:25" ht="24" customHeight="1">
      <c r="C157" s="546" t="str">
        <f t="shared" si="7"/>
        <v/>
      </c>
      <c r="D157" s="754">
        <v>37</v>
      </c>
      <c r="E157" s="1740"/>
      <c r="F157" s="1741"/>
      <c r="G157" s="1741"/>
      <c r="H157" s="1742"/>
      <c r="I157" s="755" t="str">
        <f t="shared" si="8"/>
        <v/>
      </c>
      <c r="J157" s="756"/>
      <c r="K157" s="4"/>
      <c r="Q157" s="647"/>
      <c r="R157" s="647"/>
      <c r="S157" s="647"/>
      <c r="T157" s="647"/>
      <c r="U157" s="647"/>
      <c r="V157" s="648"/>
      <c r="W157" s="648"/>
      <c r="X157" s="648"/>
      <c r="Y157" s="719" t="s">
        <v>540</v>
      </c>
    </row>
    <row r="158" spans="3:25" ht="24" customHeight="1">
      <c r="C158" s="546" t="str">
        <f t="shared" si="7"/>
        <v/>
      </c>
      <c r="D158" s="754">
        <v>38</v>
      </c>
      <c r="E158" s="1740"/>
      <c r="F158" s="1741"/>
      <c r="G158" s="1741"/>
      <c r="H158" s="1742"/>
      <c r="I158" s="755" t="str">
        <f t="shared" si="8"/>
        <v/>
      </c>
      <c r="J158" s="756"/>
      <c r="K158" s="4"/>
      <c r="Q158" s="647"/>
      <c r="R158" s="647"/>
      <c r="S158" s="647"/>
      <c r="T158" s="647"/>
      <c r="U158" s="647"/>
      <c r="V158" s="648"/>
      <c r="W158" s="648"/>
      <c r="X158" s="648"/>
      <c r="Y158" s="719" t="s">
        <v>540</v>
      </c>
    </row>
    <row r="159" spans="3:25" ht="24" customHeight="1">
      <c r="C159" s="546" t="str">
        <f t="shared" si="7"/>
        <v/>
      </c>
      <c r="D159" s="754">
        <v>39</v>
      </c>
      <c r="E159" s="1740"/>
      <c r="F159" s="1741"/>
      <c r="G159" s="1741"/>
      <c r="H159" s="1742"/>
      <c r="I159" s="755" t="str">
        <f t="shared" si="8"/>
        <v/>
      </c>
      <c r="J159" s="756"/>
      <c r="K159" s="4"/>
      <c r="Q159" s="647"/>
      <c r="R159" s="647"/>
      <c r="S159" s="647"/>
      <c r="T159" s="647"/>
      <c r="U159" s="647"/>
      <c r="V159" s="648"/>
      <c r="W159" s="648"/>
      <c r="X159" s="648"/>
      <c r="Y159" s="719" t="s">
        <v>540</v>
      </c>
    </row>
    <row r="160" spans="3:25" ht="24" customHeight="1">
      <c r="C160" s="548" t="str">
        <f t="shared" si="7"/>
        <v/>
      </c>
      <c r="D160" s="757">
        <v>40</v>
      </c>
      <c r="E160" s="1795"/>
      <c r="F160" s="1796"/>
      <c r="G160" s="1796"/>
      <c r="H160" s="1797"/>
      <c r="I160" s="758" t="str">
        <f t="shared" si="8"/>
        <v/>
      </c>
      <c r="J160" s="759"/>
      <c r="K160" s="4"/>
      <c r="Q160" s="647"/>
      <c r="R160" s="647"/>
      <c r="S160" s="647"/>
      <c r="T160" s="647"/>
      <c r="U160" s="647"/>
      <c r="V160" s="648"/>
      <c r="W160" s="648"/>
      <c r="X160" s="648"/>
      <c r="Y160" s="720" t="s">
        <v>540</v>
      </c>
    </row>
    <row r="161" spans="1:25" ht="17.25" customHeight="1">
      <c r="C161" s="17"/>
      <c r="D161" s="18"/>
      <c r="E161" s="18"/>
      <c r="F161" s="18"/>
      <c r="G161" s="18"/>
      <c r="H161" s="18"/>
      <c r="I161" s="84"/>
      <c r="J161" s="735"/>
      <c r="Q161" s="647"/>
      <c r="R161" s="647"/>
      <c r="S161" s="647"/>
      <c r="T161" s="647"/>
      <c r="U161" s="647"/>
      <c r="V161" s="648"/>
      <c r="W161" s="648"/>
      <c r="X161" s="648"/>
      <c r="Y161" s="648"/>
    </row>
    <row r="162" spans="1:25">
      <c r="A162" s="850"/>
    </row>
    <row r="163" spans="1:25">
      <c r="A163" s="850"/>
    </row>
    <row r="164" spans="1:25" ht="29.25" customHeight="1">
      <c r="C164" s="1794" t="s">
        <v>371</v>
      </c>
      <c r="D164" s="1794"/>
      <c r="E164" s="1794"/>
      <c r="F164" s="1794"/>
      <c r="G164" s="1794"/>
      <c r="H164" s="1794"/>
      <c r="I164" s="1794"/>
      <c r="J164" s="1794"/>
    </row>
    <row r="165" spans="1:25" ht="29.25" customHeight="1">
      <c r="C165" s="1794"/>
      <c r="D165" s="1794"/>
      <c r="E165" s="1794"/>
      <c r="F165" s="1794"/>
      <c r="G165" s="1794"/>
      <c r="H165" s="1794"/>
      <c r="I165" s="1794"/>
      <c r="J165" s="1794"/>
    </row>
    <row r="166" spans="1:25" ht="29.25" customHeight="1">
      <c r="C166" s="1794"/>
      <c r="D166" s="1794"/>
      <c r="E166" s="1794"/>
      <c r="F166" s="1794"/>
      <c r="G166" s="1794"/>
      <c r="H166" s="1794"/>
      <c r="I166" s="1794"/>
      <c r="J166" s="1794"/>
    </row>
    <row r="167" spans="1:25">
      <c r="C167" s="545"/>
      <c r="D167" s="404"/>
      <c r="E167" s="173"/>
      <c r="F167" s="404"/>
      <c r="G167" s="173"/>
      <c r="H167" s="173"/>
      <c r="I167" s="416"/>
      <c r="J167" s="173"/>
    </row>
    <row r="168" spans="1:25" hidden="1">
      <c r="A168" s="849"/>
      <c r="D168" s="114"/>
      <c r="E168" s="115"/>
      <c r="F168" s="18"/>
      <c r="G168" s="441"/>
      <c r="H168" s="1793"/>
      <c r="I168" s="1725"/>
      <c r="J168" s="1725"/>
    </row>
    <row r="169" spans="1:25" hidden="1">
      <c r="A169" s="849"/>
      <c r="G169" s="193"/>
    </row>
    <row r="170" spans="1:25" hidden="1">
      <c r="A170" s="849"/>
    </row>
    <row r="171" spans="1:25" hidden="1">
      <c r="A171" s="849"/>
      <c r="M171" s="568" t="s">
        <v>301</v>
      </c>
      <c r="N171" s="568" t="s">
        <v>9</v>
      </c>
      <c r="O171" s="568" t="s">
        <v>10</v>
      </c>
      <c r="P171" s="568" t="s">
        <v>11</v>
      </c>
      <c r="Q171" s="568" t="s">
        <v>12</v>
      </c>
      <c r="R171" s="568" t="s">
        <v>13</v>
      </c>
      <c r="S171" s="568" t="s">
        <v>14</v>
      </c>
      <c r="T171" s="568" t="s">
        <v>15</v>
      </c>
      <c r="U171" s="4"/>
    </row>
    <row r="172" spans="1:25" hidden="1">
      <c r="A172" s="849"/>
      <c r="M172" s="1789" t="s">
        <v>2</v>
      </c>
      <c r="N172" s="1789" t="s">
        <v>43</v>
      </c>
      <c r="O172" s="1789" t="s">
        <v>3</v>
      </c>
      <c r="P172" s="1789" t="s">
        <v>4</v>
      </c>
      <c r="Q172" s="1791" t="s">
        <v>5</v>
      </c>
      <c r="R172" s="1791" t="s">
        <v>6</v>
      </c>
      <c r="S172" s="1789" t="s">
        <v>7</v>
      </c>
      <c r="T172" s="1789" t="s">
        <v>8</v>
      </c>
      <c r="U172" s="4"/>
    </row>
    <row r="173" spans="1:25" ht="54" hidden="1" customHeight="1">
      <c r="A173" s="849"/>
      <c r="M173" s="1790"/>
      <c r="N173" s="1790"/>
      <c r="O173" s="1790"/>
      <c r="P173" s="1790"/>
      <c r="Q173" s="1792"/>
      <c r="R173" s="1792"/>
      <c r="S173" s="1790"/>
      <c r="T173" s="1790"/>
      <c r="U173" s="4"/>
    </row>
    <row r="174" spans="1:25" hidden="1">
      <c r="A174" s="849"/>
      <c r="M174" s="565">
        <f>SUMIF(X6:X161,"○",J6:J161)</f>
        <v>0</v>
      </c>
      <c r="N174" s="565">
        <f>ROUND(M174*0.03,0)</f>
        <v>0</v>
      </c>
      <c r="O174" s="566">
        <v>30000</v>
      </c>
      <c r="P174" s="565">
        <f>SUMIF(K82:K91,"Ｔ",J82:J91)</f>
        <v>0</v>
      </c>
      <c r="Q174" s="567" t="str">
        <f>IF(P174&gt;N174,"以上","以下")</f>
        <v>以下</v>
      </c>
      <c r="R174" s="567" t="str">
        <f>IF(N174&gt;O174,"以上","以下")</f>
        <v>以下</v>
      </c>
      <c r="S174" s="567" t="str">
        <f>IF(AND(Q174="以下",R174="以下"),"非対象0",IF(AND(Q174="以上",R174="以下"),"3％以上非対象","3千万以上非対象"))</f>
        <v>非対象0</v>
      </c>
      <c r="T174" s="567">
        <f>IF(S174="非対象0",0,IF(S174="3％以上非対象",P174-N174,P174-O174))</f>
        <v>0</v>
      </c>
      <c r="U174" s="4"/>
    </row>
    <row r="175" spans="1:25" hidden="1">
      <c r="A175" s="849"/>
    </row>
  </sheetData>
  <sheetProtection algorithmName="SHA-512" hashValue="KxF1ZYLUSbxdQRdhJGHioP9uwJiXhhdQBgS2jwY4tKcS7bi6ux9NYi9A7DLtFpYPlTnp47DSFIv3S+IMVRAixg==" saltValue="8E47/3cIAWzCUFEkwp0cXw==" spinCount="100000" sheet="1" objects="1" scenarios="1"/>
  <mergeCells count="107">
    <mergeCell ref="E147:H147"/>
    <mergeCell ref="O172:O173"/>
    <mergeCell ref="M172:M173"/>
    <mergeCell ref="N172:N173"/>
    <mergeCell ref="E142:H142"/>
    <mergeCell ref="H168:J168"/>
    <mergeCell ref="C164:J166"/>
    <mergeCell ref="E160:H160"/>
    <mergeCell ref="E153:H153"/>
    <mergeCell ref="E158:H158"/>
    <mergeCell ref="E154:H154"/>
    <mergeCell ref="E155:H155"/>
    <mergeCell ref="E159:H159"/>
    <mergeCell ref="E144:H144"/>
    <mergeCell ref="E145:H145"/>
    <mergeCell ref="E143:H143"/>
    <mergeCell ref="T172:T173"/>
    <mergeCell ref="S172:S173"/>
    <mergeCell ref="E156:H156"/>
    <mergeCell ref="E149:H149"/>
    <mergeCell ref="E151:H151"/>
    <mergeCell ref="E150:H150"/>
    <mergeCell ref="E157:H157"/>
    <mergeCell ref="E152:H152"/>
    <mergeCell ref="P172:P173"/>
    <mergeCell ref="Q172:Q173"/>
    <mergeCell ref="R172:R173"/>
    <mergeCell ref="B3:D3"/>
    <mergeCell ref="E3:J3"/>
    <mergeCell ref="E121:H121"/>
    <mergeCell ref="E124:H124"/>
    <mergeCell ref="E123:H123"/>
    <mergeCell ref="E54:H54"/>
    <mergeCell ref="E122:H122"/>
    <mergeCell ref="F94:J94"/>
    <mergeCell ref="F56:H56"/>
    <mergeCell ref="C73:D73"/>
    <mergeCell ref="E73:K73"/>
    <mergeCell ref="C74:D74"/>
    <mergeCell ref="D61:H61"/>
    <mergeCell ref="E74:K74"/>
    <mergeCell ref="C75:D75"/>
    <mergeCell ref="K34:M34"/>
    <mergeCell ref="I120:J120"/>
    <mergeCell ref="C120:H120"/>
    <mergeCell ref="K90:K91"/>
    <mergeCell ref="C117:J117"/>
    <mergeCell ref="C115:F115"/>
    <mergeCell ref="C90:C91"/>
    <mergeCell ref="K33:M33"/>
    <mergeCell ref="K13:M13"/>
    <mergeCell ref="E133:H133"/>
    <mergeCell ref="E139:H139"/>
    <mergeCell ref="E136:H136"/>
    <mergeCell ref="E137:H137"/>
    <mergeCell ref="C79:D79"/>
    <mergeCell ref="E79:K79"/>
    <mergeCell ref="E140:H140"/>
    <mergeCell ref="E129:H129"/>
    <mergeCell ref="E131:H131"/>
    <mergeCell ref="E128:H128"/>
    <mergeCell ref="E134:H134"/>
    <mergeCell ref="E126:H126"/>
    <mergeCell ref="E125:H125"/>
    <mergeCell ref="E135:H135"/>
    <mergeCell ref="E138:H138"/>
    <mergeCell ref="C78:D78"/>
    <mergeCell ref="E78:K78"/>
    <mergeCell ref="E146:H146"/>
    <mergeCell ref="E148:H148"/>
    <mergeCell ref="U6:U7"/>
    <mergeCell ref="E75:K75"/>
    <mergeCell ref="V6:V7"/>
    <mergeCell ref="Q6:Q7"/>
    <mergeCell ref="E132:H132"/>
    <mergeCell ref="E130:H130"/>
    <mergeCell ref="E127:H127"/>
    <mergeCell ref="D88:H88"/>
    <mergeCell ref="E80:K80"/>
    <mergeCell ref="K9:M9"/>
    <mergeCell ref="K11:M11"/>
    <mergeCell ref="R6:R7"/>
    <mergeCell ref="C76:D76"/>
    <mergeCell ref="E76:K76"/>
    <mergeCell ref="C77:D77"/>
    <mergeCell ref="E77:K77"/>
    <mergeCell ref="E141:H141"/>
    <mergeCell ref="C67:J67"/>
    <mergeCell ref="C68:J68"/>
    <mergeCell ref="C80:D80"/>
    <mergeCell ref="S6:S7"/>
    <mergeCell ref="T6:T7"/>
    <mergeCell ref="E57:H57"/>
    <mergeCell ref="K19:M19"/>
    <mergeCell ref="K20:M20"/>
    <mergeCell ref="K16:M16"/>
    <mergeCell ref="F55:H55"/>
    <mergeCell ref="F58:H58"/>
    <mergeCell ref="Z6:Z7"/>
    <mergeCell ref="Y6:Y7"/>
    <mergeCell ref="W6:W7"/>
    <mergeCell ref="X6:X7"/>
    <mergeCell ref="K14:M14"/>
    <mergeCell ref="G36:H36"/>
    <mergeCell ref="G35:H35"/>
    <mergeCell ref="G37:H37"/>
    <mergeCell ref="K35:M35"/>
  </mergeCells>
  <phoneticPr fontId="5"/>
  <dataValidations xWindow="758" yWindow="351" count="11">
    <dataValidation type="whole" allowBlank="1" showInputMessage="1" showErrorMessage="1" sqref="J82:J90 VSD60 VIH60 UYL60 UOP60 UET60 TUX60 TLB60 TBF60 SRJ60 SHN60 RXR60 RNV60 RDZ60 QUD60 QKH60 QAL60 PQP60 PGT60 OWX60 ONB60 ODF60 NTJ60 NJN60 MZR60 MPV60 MFZ60 LWD60 LMH60 LCL60 KSP60 KIT60 JYX60 JPB60 JFF60 IVJ60 ILN60 IBR60 HRV60 HHZ60 GYD60 GOH60 GEL60 FUP60 FKT60 FAX60 ERB60 EHF60 DXJ60 DNN60 DDR60 CTV60 CJZ60 CAD60 BQH60 BGL60 AWP60 AMT60 ACX60 TB60 JF60 J112 J103:J106 J55:J62 J11 J114 J95:J97 J24 J29 WVR60 WLV60 WBZ60 J121:J160 J16:J20 J9 J31:J53" xr:uid="{00000000-0002-0000-0300-000000000000}">
      <formula1>0</formula1>
      <formula2>9999999999</formula2>
    </dataValidation>
    <dataValidation type="list" allowBlank="1" showInputMessage="1" showErrorMessage="1" sqref="K82:K91" xr:uid="{00000000-0002-0000-0300-000001000000}">
      <formula1>管理区分</formula1>
    </dataValidation>
    <dataValidation type="whole" allowBlank="1" showErrorMessage="1" promptTitle="材料費" prompt="『材料費』の積算金額を入力してください。" sqref="J93 J113" xr:uid="{00000000-0002-0000-0300-000002000000}">
      <formula1>0</formula1>
      <formula2>9999999999</formula2>
    </dataValidation>
    <dataValidation type="list" allowBlank="1" showInputMessage="1" showErrorMessage="1" sqref="J98:J102 J107:J111" xr:uid="{00000000-0002-0000-0300-000003000000}">
      <formula1>工事費_有無</formula1>
    </dataValidation>
    <dataValidation type="whole" allowBlank="1" showInputMessage="1" showErrorMessage="1" promptTitle="共通仮設費積算対象金額" prompt="『共通仮設費積算対象金額』の積算金額を入力してください。" sqref="J65" xr:uid="{00000000-0002-0000-0300-000004000000}">
      <formula1>0</formula1>
      <formula2>9999999999</formula2>
    </dataValidation>
    <dataValidation type="whole" allowBlank="1" showInputMessage="1" showErrorMessage="1" promptTitle="材料費" prompt="『材料費』の積算金額を入力してください。" sqref="J10" xr:uid="{00000000-0002-0000-0300-000005000000}">
      <formula1>0</formula1>
      <formula2>9999999999</formula2>
    </dataValidation>
    <dataValidation type="whole" allowBlank="1" showInputMessage="1" showErrorMessage="1" promptTitle="労務費" prompt="『労務費』の積算金額を入力してください。" sqref="J12" xr:uid="{00000000-0002-0000-0300-000006000000}">
      <formula1>0</formula1>
      <formula2>9999999999</formula2>
    </dataValidation>
    <dataValidation type="whole" allowBlank="1" showInputMessage="1" showErrorMessage="1" promptTitle="機械機具等損料" prompt="『機械機具等損料』の積算金額を入力してください。" sqref="J15" xr:uid="{00000000-0002-0000-0300-000007000000}">
      <formula1>0</formula1>
      <formula2>9999999999</formula2>
    </dataValidation>
    <dataValidation type="whole" operator="greaterThanOrEqual" allowBlank="1" showInputMessage="1" showErrorMessage="1" sqref="M36:M37" xr:uid="{F4910583-EE33-4AFA-A574-9057EC624FA5}">
      <formula1>0</formula1>
    </dataValidation>
    <dataValidation type="whole" allowBlank="1" showInputMessage="1" showErrorMessage="1" promptTitle="交通誘導警備員Ａ" prompt="交通誘導警備員Ａの費用内訳を入力して下さい。_x000a_" sqref="J13" xr:uid="{46780A2C-EA7D-469F-B37A-C500B43E4C5F}">
      <formula1>0</formula1>
      <formula2>9999999999</formula2>
    </dataValidation>
    <dataValidation type="whole" allowBlank="1" showInputMessage="1" showErrorMessage="1" promptTitle="交通誘導警備員Ｂ" prompt="交通誘導警備員Ｂの費用内訳を入力して下さい。" sqref="J14" xr:uid="{A50D9713-EFC4-4066-BF0E-D0C5929B4FB0}">
      <formula1>0</formula1>
      <formula2>9999999999</formula2>
    </dataValidation>
  </dataValidations>
  <pageMargins left="0.39370078740157483" right="0.15748031496062992" top="0.59055118110236227" bottom="0.23622047244094491" header="0.31496062992125984" footer="0.15748031496062992"/>
  <pageSetup paperSize="8" scale="54" fitToWidth="2" fitToHeight="2" orientation="portrait" r:id="rId1"/>
  <headerFooter alignWithMargins="0">
    <oddHeader>&amp;L&amp;A</oddHeader>
    <oddFooter>&amp;C&amp;P/&amp;N</oddFooter>
  </headerFooter>
  <rowBreaks count="2" manualBreakCount="2">
    <brk id="69" max="22" man="1"/>
    <brk id="160" max="2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4"/>
  </sheetPr>
  <dimension ref="A1:AF72"/>
  <sheetViews>
    <sheetView showGridLines="0" topLeftCell="A2" zoomScaleNormal="100" zoomScaleSheetLayoutView="100" workbookViewId="0"/>
  </sheetViews>
  <sheetFormatPr defaultRowHeight="13.5"/>
  <cols>
    <col min="1" max="1" width="3.5" style="210" customWidth="1"/>
    <col min="2" max="3" width="3.625" style="210" customWidth="1"/>
    <col min="4" max="4" width="3.375" style="210" customWidth="1"/>
    <col min="5" max="5" width="9" style="210"/>
    <col min="6" max="6" width="10" style="210" customWidth="1"/>
    <col min="7" max="7" width="6.375" style="210" customWidth="1"/>
    <col min="8" max="8" width="8" style="210" customWidth="1"/>
    <col min="9" max="9" width="6.875" style="210" customWidth="1"/>
    <col min="10" max="10" width="3.875" style="78" customWidth="1"/>
    <col min="11" max="11" width="6.375" style="42" customWidth="1"/>
    <col min="12" max="12" width="3.25" style="74" customWidth="1"/>
    <col min="13" max="13" width="6.375" style="210" customWidth="1"/>
    <col min="14" max="14" width="3.25" style="210" customWidth="1"/>
    <col min="15" max="15" width="6.375" style="210" customWidth="1"/>
    <col min="16" max="16" width="3.25" style="210" customWidth="1"/>
    <col min="17" max="17" width="2.375" style="210" customWidth="1"/>
    <col min="18" max="18" width="17.625" style="93" hidden="1" customWidth="1"/>
    <col min="19" max="19" width="12.125" style="93" hidden="1" customWidth="1"/>
    <col min="20" max="20" width="4.875" style="210" customWidth="1"/>
    <col min="21" max="22" width="9" style="210" customWidth="1"/>
    <col min="23" max="23" width="4.5" style="210" customWidth="1"/>
    <col min="24" max="31" width="9" style="210"/>
    <col min="32" max="32" width="3.5" style="210" customWidth="1"/>
    <col min="33" max="16384" width="9" style="210"/>
  </cols>
  <sheetData>
    <row r="1" spans="1:32" ht="21" hidden="1" customHeight="1">
      <c r="A1" s="604" t="s">
        <v>534</v>
      </c>
      <c r="B1" s="604">
        <f>COUNTIF($J$7:$J$45,"※")</f>
        <v>19</v>
      </c>
      <c r="C1" s="605" t="s">
        <v>535</v>
      </c>
      <c r="D1" s="604">
        <f>COUNTIF($J$7:$J$45,"E")</f>
        <v>0</v>
      </c>
      <c r="R1" s="484"/>
      <c r="S1" s="484"/>
    </row>
    <row r="2" spans="1:32" ht="27" customHeight="1">
      <c r="A2" s="154"/>
      <c r="B2" s="154"/>
      <c r="C2" s="603"/>
      <c r="D2" s="154"/>
    </row>
    <row r="3" spans="1:32" ht="24" customHeight="1">
      <c r="A3" s="154"/>
      <c r="B3" s="154"/>
      <c r="C3" s="1716" t="s">
        <v>602</v>
      </c>
      <c r="D3" s="1798"/>
      <c r="E3" s="1799"/>
      <c r="F3" s="1800" t="str">
        <f>IF(工事情報!G4="","",工事情報!G4)</f>
        <v/>
      </c>
      <c r="G3" s="1801"/>
      <c r="H3" s="1801"/>
      <c r="I3" s="1801"/>
      <c r="J3" s="1801"/>
      <c r="K3" s="1801"/>
      <c r="L3" s="1802"/>
    </row>
    <row r="4" spans="1:32" ht="30" customHeight="1" thickBot="1">
      <c r="R4" s="73"/>
      <c r="S4" s="73"/>
      <c r="W4" s="1663"/>
      <c r="X4" s="1663"/>
      <c r="Y4" s="1663"/>
      <c r="Z4" s="1663"/>
      <c r="AA4" s="1663"/>
      <c r="AB4" s="1663"/>
      <c r="AC4" s="1663"/>
      <c r="AD4" s="1663"/>
      <c r="AE4" s="1663"/>
      <c r="AF4" s="1663"/>
    </row>
    <row r="5" spans="1:32" ht="21" customHeight="1">
      <c r="C5" s="1532" t="s">
        <v>5306</v>
      </c>
      <c r="D5" s="1532"/>
      <c r="E5" s="18"/>
      <c r="F5" s="18"/>
      <c r="G5" s="18"/>
      <c r="H5" s="18"/>
      <c r="I5" s="18"/>
      <c r="J5" s="83"/>
      <c r="K5" s="1533"/>
      <c r="L5" s="75"/>
      <c r="M5" s="75"/>
      <c r="N5" s="75"/>
      <c r="O5" s="75"/>
      <c r="P5" s="75"/>
      <c r="Q5" s="18"/>
      <c r="R5" s="73"/>
      <c r="S5" s="73"/>
      <c r="W5" s="1656"/>
      <c r="X5" s="1657" t="s">
        <v>5414</v>
      </c>
      <c r="Y5" s="1579"/>
      <c r="Z5" s="1579"/>
      <c r="AA5" s="1579"/>
      <c r="AB5" s="1579"/>
      <c r="AC5" s="1579"/>
      <c r="AD5" s="1579"/>
      <c r="AE5" s="1579"/>
      <c r="AF5" s="1658"/>
    </row>
    <row r="6" spans="1:32" ht="21" customHeight="1">
      <c r="C6" s="18"/>
      <c r="D6" s="1533"/>
      <c r="E6" s="1532"/>
      <c r="F6" s="1532"/>
      <c r="G6" s="1532"/>
      <c r="H6" s="1532"/>
      <c r="I6" s="1532"/>
      <c r="J6" s="83"/>
      <c r="K6" s="1533"/>
      <c r="M6" s="74"/>
      <c r="N6" s="74"/>
      <c r="O6" s="74"/>
      <c r="P6" s="74"/>
      <c r="Q6" s="1532"/>
      <c r="R6" s="73"/>
      <c r="S6" s="73"/>
      <c r="W6" s="1656"/>
      <c r="X6" s="1659" t="s">
        <v>5412</v>
      </c>
      <c r="Y6" s="1579"/>
      <c r="Z6" s="1579"/>
      <c r="AA6" s="1579"/>
      <c r="AB6" s="1579"/>
      <c r="AC6" s="1579"/>
      <c r="AD6" s="1579"/>
      <c r="AE6" s="1579"/>
      <c r="AF6" s="1658"/>
    </row>
    <row r="7" spans="1:32" ht="21.75" customHeight="1">
      <c r="C7" s="1560" t="s">
        <v>290</v>
      </c>
      <c r="D7" s="1808" t="s">
        <v>5410</v>
      </c>
      <c r="E7" s="1809"/>
      <c r="F7" s="1809"/>
      <c r="G7" s="1809"/>
      <c r="H7" s="1809"/>
      <c r="I7" s="1810"/>
      <c r="J7" s="1561" t="str">
        <f>IF(K7="","※",IF(AND(OR(K8&lt;&gt;0,K9&lt;&gt;0,K11&lt;&gt;0,K12&lt;&gt;0,K14&lt;&gt;0),K7&lt;&gt;"YES")=TRUE,"E",""))</f>
        <v>※</v>
      </c>
      <c r="K7" s="1562"/>
      <c r="L7" s="1563"/>
      <c r="M7" s="1563"/>
      <c r="N7" s="1563"/>
      <c r="O7" s="1563"/>
      <c r="P7" s="1563"/>
      <c r="Q7" s="8"/>
      <c r="R7" s="73"/>
      <c r="S7" s="73"/>
      <c r="W7" s="1656"/>
      <c r="X7" s="1659" t="s">
        <v>5411</v>
      </c>
      <c r="Y7" s="1579"/>
      <c r="Z7" s="1579"/>
      <c r="AA7" s="1579"/>
      <c r="AB7" s="1579"/>
      <c r="AC7" s="1579"/>
      <c r="AD7" s="1579"/>
      <c r="AE7" s="1579"/>
      <c r="AF7" s="1658"/>
    </row>
    <row r="8" spans="1:32" ht="21" customHeight="1">
      <c r="C8" s="1564" t="s">
        <v>291</v>
      </c>
      <c r="D8" s="25" t="s">
        <v>5307</v>
      </c>
      <c r="E8" s="1144"/>
      <c r="F8" s="1144"/>
      <c r="G8" s="1144"/>
      <c r="H8" s="1144"/>
      <c r="I8" s="1144"/>
      <c r="J8" s="1565" t="str">
        <f>IF(K$7="","",IF(AND(K$7="Yes",K8=""),"※",IF(K$7="No","以下入力不要","")))</f>
        <v/>
      </c>
      <c r="K8" s="1803"/>
      <c r="L8" s="1804"/>
      <c r="M8" s="1804"/>
      <c r="N8" s="1804"/>
      <c r="O8" s="1804"/>
      <c r="P8" s="1805"/>
      <c r="Q8" s="1566"/>
      <c r="R8" s="73"/>
      <c r="S8" s="73"/>
      <c r="W8" s="1656"/>
      <c r="X8" s="1659" t="s">
        <v>5413</v>
      </c>
      <c r="Y8" s="1579"/>
      <c r="Z8" s="1579"/>
      <c r="AA8" s="1579"/>
      <c r="AB8" s="1579"/>
      <c r="AC8" s="1579"/>
      <c r="AD8" s="1579"/>
      <c r="AE8" s="1579"/>
      <c r="AF8" s="1658"/>
    </row>
    <row r="9" spans="1:32" ht="21" customHeight="1">
      <c r="C9" s="1564" t="s">
        <v>292</v>
      </c>
      <c r="D9" s="57" t="s">
        <v>5308</v>
      </c>
      <c r="E9" s="1567"/>
      <c r="F9" s="1567"/>
      <c r="G9" s="1567"/>
      <c r="H9" s="1567"/>
      <c r="I9" s="1567"/>
      <c r="J9" s="1565" t="str">
        <f>IF(K$7="","",IF(AND(K$7="YES",K9=""),"※",""))</f>
        <v/>
      </c>
      <c r="K9" s="1568"/>
      <c r="L9" s="1569" t="s">
        <v>5309</v>
      </c>
      <c r="M9" s="1570"/>
      <c r="N9" s="1569" t="s">
        <v>5310</v>
      </c>
      <c r="O9" s="1570"/>
      <c r="P9" s="1571" t="s">
        <v>574</v>
      </c>
      <c r="Q9" s="1566"/>
      <c r="R9" s="1572" t="e">
        <f>DATE(VLOOKUP(K9,Table!$A$602:$B$614,2,0),M9,O9)</f>
        <v>#N/A</v>
      </c>
      <c r="S9" s="73"/>
      <c r="W9" s="1656"/>
      <c r="X9" s="1659"/>
      <c r="Y9" s="1579"/>
      <c r="Z9" s="1579"/>
      <c r="AA9" s="1579"/>
      <c r="AB9" s="1579"/>
      <c r="AC9" s="1579"/>
      <c r="AD9" s="1579"/>
      <c r="AE9" s="1579"/>
      <c r="AF9" s="1658"/>
    </row>
    <row r="10" spans="1:32" ht="21" customHeight="1">
      <c r="C10" s="1564" t="s">
        <v>293</v>
      </c>
      <c r="D10" s="57" t="s">
        <v>5311</v>
      </c>
      <c r="E10" s="1144"/>
      <c r="F10" s="1144"/>
      <c r="G10" s="1144"/>
      <c r="H10" s="1144"/>
      <c r="I10" s="1573"/>
      <c r="J10" s="1565" t="str">
        <f t="shared" ref="J10:J14" si="0">IF(K$7="","",IF(AND(K$7="YES",K10=""),"※",""))</f>
        <v/>
      </c>
      <c r="K10" s="1568"/>
      <c r="L10" s="1569" t="s">
        <v>5309</v>
      </c>
      <c r="M10" s="1570"/>
      <c r="N10" s="1569" t="s">
        <v>5310</v>
      </c>
      <c r="O10" s="1570"/>
      <c r="P10" s="1571" t="s">
        <v>574</v>
      </c>
      <c r="Q10" s="1566"/>
      <c r="R10" s="1572" t="e">
        <f>DATE(VLOOKUP(K10,Table!$A$602:$B$614,2,0),M10,O10)</f>
        <v>#N/A</v>
      </c>
      <c r="S10" s="73"/>
      <c r="W10" s="1656"/>
      <c r="X10" s="1579"/>
      <c r="Y10" s="1579"/>
      <c r="Z10" s="1579"/>
      <c r="AA10" s="1579"/>
      <c r="AB10" s="1579"/>
      <c r="AC10" s="1579"/>
      <c r="AD10" s="1579"/>
      <c r="AE10" s="1579"/>
      <c r="AF10" s="1658"/>
    </row>
    <row r="11" spans="1:32" ht="21" customHeight="1">
      <c r="C11" s="1564" t="s">
        <v>130</v>
      </c>
      <c r="D11" s="25" t="s">
        <v>5312</v>
      </c>
      <c r="E11" s="1144"/>
      <c r="F11" s="1144"/>
      <c r="G11" s="1144"/>
      <c r="H11" s="1144"/>
      <c r="I11" s="1573"/>
      <c r="J11" s="1565" t="str">
        <f t="shared" si="0"/>
        <v/>
      </c>
      <c r="K11" s="1568"/>
      <c r="L11" s="1569" t="s">
        <v>5309</v>
      </c>
      <c r="M11" s="1570"/>
      <c r="N11" s="1569" t="s">
        <v>5310</v>
      </c>
      <c r="O11" s="1570"/>
      <c r="P11" s="1571" t="s">
        <v>574</v>
      </c>
      <c r="Q11" s="1566"/>
      <c r="R11" s="1572" t="e">
        <f>DATE(VLOOKUP(K11,Table!$A$602:$B$614,2,0),M11,O11)</f>
        <v>#N/A</v>
      </c>
      <c r="S11" s="73"/>
      <c r="W11" s="1656"/>
      <c r="X11" s="1579"/>
      <c r="Y11" s="1579"/>
      <c r="Z11" s="1579"/>
      <c r="AA11" s="1579"/>
      <c r="AB11" s="1579"/>
      <c r="AC11" s="1579"/>
      <c r="AD11" s="1579"/>
      <c r="AE11" s="1579"/>
      <c r="AF11" s="1658"/>
    </row>
    <row r="12" spans="1:32" ht="21" customHeight="1">
      <c r="C12" s="1564" t="s">
        <v>132</v>
      </c>
      <c r="D12" s="25" t="s">
        <v>5313</v>
      </c>
      <c r="E12" s="1144"/>
      <c r="F12" s="1144"/>
      <c r="G12" s="1144"/>
      <c r="H12" s="1144"/>
      <c r="I12" s="1573"/>
      <c r="J12" s="1565" t="str">
        <f t="shared" si="0"/>
        <v/>
      </c>
      <c r="K12" s="1568"/>
      <c r="L12" s="1569" t="s">
        <v>5309</v>
      </c>
      <c r="M12" s="1570"/>
      <c r="N12" s="1569" t="s">
        <v>5310</v>
      </c>
      <c r="O12" s="1570"/>
      <c r="P12" s="1571" t="s">
        <v>574</v>
      </c>
      <c r="Q12" s="1566"/>
      <c r="R12" s="1572" t="e">
        <f>DATE(VLOOKUP(K12,Table!$A$602:$B$614,2,0),M12,O12)</f>
        <v>#N/A</v>
      </c>
      <c r="S12" s="73"/>
      <c r="W12" s="1656"/>
      <c r="X12" s="1579"/>
      <c r="Y12" s="1579"/>
      <c r="Z12" s="1579"/>
      <c r="AA12" s="1579"/>
      <c r="AB12" s="1579"/>
      <c r="AC12" s="1579"/>
      <c r="AD12" s="1579"/>
      <c r="AE12" s="1579"/>
      <c r="AF12" s="1658"/>
    </row>
    <row r="13" spans="1:32" ht="21" customHeight="1">
      <c r="C13" s="1564" t="s">
        <v>5304</v>
      </c>
      <c r="D13" s="25" t="s">
        <v>5314</v>
      </c>
      <c r="E13" s="1144"/>
      <c r="F13" s="1144"/>
      <c r="G13" s="1144"/>
      <c r="H13" s="1144"/>
      <c r="I13" s="1573"/>
      <c r="J13" s="1565" t="str">
        <f t="shared" si="0"/>
        <v/>
      </c>
      <c r="K13" s="1568"/>
      <c r="L13" s="1569" t="s">
        <v>5309</v>
      </c>
      <c r="M13" s="1570"/>
      <c r="N13" s="1569" t="s">
        <v>5310</v>
      </c>
      <c r="O13" s="1570"/>
      <c r="P13" s="1571" t="s">
        <v>574</v>
      </c>
      <c r="Q13" s="1566"/>
      <c r="R13" s="1572" t="e">
        <f>DATE(VLOOKUP(K13,Table!$A$602:$B$614,2,0),M13,O13)</f>
        <v>#N/A</v>
      </c>
      <c r="S13" s="73"/>
      <c r="W13" s="1656"/>
      <c r="X13" s="1579"/>
      <c r="Y13" s="1579"/>
      <c r="Z13" s="1579"/>
      <c r="AA13" s="1579"/>
      <c r="AB13" s="1579"/>
      <c r="AC13" s="1579"/>
      <c r="AD13" s="1579"/>
      <c r="AE13" s="1579"/>
      <c r="AF13" s="1658"/>
    </row>
    <row r="14" spans="1:32" ht="21" customHeight="1">
      <c r="C14" s="1574" t="s">
        <v>5305</v>
      </c>
      <c r="D14" s="1575" t="s">
        <v>5315</v>
      </c>
      <c r="E14" s="1576"/>
      <c r="F14" s="1576"/>
      <c r="G14" s="1576"/>
      <c r="H14" s="1576"/>
      <c r="I14" s="1577"/>
      <c r="J14" s="1578" t="str">
        <f t="shared" si="0"/>
        <v/>
      </c>
      <c r="K14" s="1583"/>
      <c r="L14" s="1584" t="s">
        <v>5309</v>
      </c>
      <c r="M14" s="1585"/>
      <c r="N14" s="1584" t="s">
        <v>5310</v>
      </c>
      <c r="O14" s="1585"/>
      <c r="P14" s="1586" t="s">
        <v>574</v>
      </c>
      <c r="Q14" s="1587"/>
      <c r="R14" s="1572" t="e">
        <f>DATE(VLOOKUP(K14,Table!$A$602:$B$614,2,0),M14,O14)</f>
        <v>#N/A</v>
      </c>
      <c r="S14" s="73"/>
      <c r="W14" s="1656"/>
      <c r="X14" s="1579"/>
      <c r="Y14" s="1579"/>
      <c r="Z14" s="1579"/>
      <c r="AA14" s="1579"/>
      <c r="AB14" s="1579"/>
      <c r="AC14" s="1579"/>
      <c r="AD14" s="1579"/>
      <c r="AE14" s="1579"/>
      <c r="AF14" s="1658"/>
    </row>
    <row r="15" spans="1:32" ht="30" customHeight="1">
      <c r="K15" s="1533"/>
      <c r="R15" s="73"/>
      <c r="S15" s="73"/>
      <c r="W15" s="1656"/>
      <c r="X15" s="1579"/>
      <c r="Y15" s="1579"/>
      <c r="Z15" s="1579"/>
      <c r="AA15" s="1579"/>
      <c r="AB15" s="1579"/>
      <c r="AC15" s="1579"/>
      <c r="AD15" s="1579"/>
      <c r="AE15" s="1579"/>
      <c r="AF15" s="1658"/>
    </row>
    <row r="16" spans="1:32" s="212" customFormat="1" ht="15" customHeight="1" thickBot="1">
      <c r="C16" s="210" t="s">
        <v>298</v>
      </c>
      <c r="D16" s="210"/>
      <c r="J16" s="78"/>
      <c r="K16" s="42"/>
      <c r="L16" s="75"/>
      <c r="R16" s="73" t="s">
        <v>806</v>
      </c>
      <c r="S16" s="73"/>
      <c r="V16" s="210"/>
      <c r="W16" s="1660"/>
      <c r="X16" s="1661"/>
      <c r="Y16" s="1661"/>
      <c r="Z16" s="1661"/>
      <c r="AA16" s="1661"/>
      <c r="AB16" s="1661"/>
      <c r="AC16" s="1661"/>
      <c r="AD16" s="1661"/>
      <c r="AE16" s="1661"/>
      <c r="AF16" s="1662"/>
    </row>
    <row r="17" spans="3:23" ht="15" customHeight="1">
      <c r="C17" s="212"/>
      <c r="D17" s="42"/>
      <c r="R17" s="762" t="s">
        <v>1002</v>
      </c>
      <c r="S17" s="762" t="s">
        <v>1003</v>
      </c>
    </row>
    <row r="18" spans="3:23" ht="15" customHeight="1">
      <c r="C18" s="70" t="s">
        <v>301</v>
      </c>
      <c r="D18" s="50" t="s">
        <v>756</v>
      </c>
      <c r="E18" s="50"/>
      <c r="F18" s="50"/>
      <c r="G18" s="50"/>
      <c r="H18" s="50"/>
      <c r="I18" s="50"/>
      <c r="J18" s="717" t="str">
        <f>IF(K18="","※","")</f>
        <v>※</v>
      </c>
      <c r="K18" s="760"/>
      <c r="L18" s="95" t="s">
        <v>574</v>
      </c>
      <c r="M18" s="269"/>
      <c r="N18" s="269"/>
      <c r="O18" s="269"/>
      <c r="P18" s="269"/>
      <c r="Q18" s="213"/>
      <c r="R18" s="763"/>
      <c r="S18" s="763"/>
    </row>
    <row r="19" spans="3:23" ht="15" customHeight="1">
      <c r="C19" s="51" t="s">
        <v>291</v>
      </c>
      <c r="D19" s="25" t="s">
        <v>757</v>
      </c>
      <c r="E19" s="25"/>
      <c r="F19" s="25"/>
      <c r="G19" s="25"/>
      <c r="H19" s="25"/>
      <c r="I19" s="25"/>
      <c r="J19" s="715" t="str">
        <f>IF(K19="","※","")</f>
        <v>※</v>
      </c>
      <c r="K19" s="761"/>
      <c r="L19" s="96" t="s">
        <v>574</v>
      </c>
      <c r="M19" s="1579"/>
      <c r="N19" s="1579"/>
      <c r="O19" s="1579"/>
      <c r="P19" s="1579"/>
      <c r="Q19" s="214"/>
      <c r="R19" s="764"/>
      <c r="S19" s="764"/>
    </row>
    <row r="20" spans="3:23" ht="15" customHeight="1">
      <c r="C20" s="51" t="s">
        <v>292</v>
      </c>
      <c r="D20" s="25" t="s">
        <v>569</v>
      </c>
      <c r="E20" s="25"/>
      <c r="F20" s="25"/>
      <c r="G20" s="25"/>
      <c r="H20" s="25"/>
      <c r="I20" s="25"/>
      <c r="J20" s="715" t="str">
        <f>IF(K20="","※","")</f>
        <v>※</v>
      </c>
      <c r="K20" s="126"/>
      <c r="L20" s="96" t="s">
        <v>574</v>
      </c>
      <c r="M20" s="1579"/>
      <c r="N20" s="1579"/>
      <c r="O20" s="1579"/>
      <c r="P20" s="1579"/>
      <c r="Q20" s="214"/>
      <c r="R20" s="764"/>
      <c r="S20" s="764"/>
    </row>
    <row r="21" spans="3:23" ht="15" customHeight="1">
      <c r="C21" s="51" t="s">
        <v>1442</v>
      </c>
      <c r="D21" s="25" t="s">
        <v>1443</v>
      </c>
      <c r="E21" s="25"/>
      <c r="F21" s="25"/>
      <c r="G21" s="25"/>
      <c r="H21" s="25"/>
      <c r="I21" s="25"/>
      <c r="J21" s="715" t="str">
        <f>IF(K21="","※","")</f>
        <v>※</v>
      </c>
      <c r="K21" s="126"/>
      <c r="L21" s="96" t="s">
        <v>574</v>
      </c>
      <c r="M21" s="1547"/>
      <c r="N21" s="1547"/>
      <c r="O21" s="1547"/>
      <c r="P21" s="1547"/>
      <c r="Q21" s="910"/>
      <c r="R21" s="909"/>
      <c r="S21" s="764"/>
    </row>
    <row r="22" spans="3:23" ht="15" customHeight="1">
      <c r="C22" s="51" t="s">
        <v>1444</v>
      </c>
      <c r="D22" s="57" t="s">
        <v>575</v>
      </c>
      <c r="E22" s="57"/>
      <c r="F22" s="57"/>
      <c r="G22" s="57"/>
      <c r="H22" s="57"/>
      <c r="I22" s="57"/>
      <c r="J22" s="190"/>
      <c r="K22" s="57"/>
      <c r="L22" s="188"/>
      <c r="M22" s="1579"/>
      <c r="N22" s="1579"/>
      <c r="O22" s="1579"/>
      <c r="P22" s="1579"/>
      <c r="Q22" s="214"/>
      <c r="R22" s="722"/>
      <c r="S22" s="765"/>
    </row>
    <row r="23" spans="3:23" ht="15" customHeight="1">
      <c r="C23" s="51"/>
      <c r="D23" s="56" t="s">
        <v>570</v>
      </c>
      <c r="E23" s="57" t="s">
        <v>266</v>
      </c>
      <c r="F23" s="57"/>
      <c r="G23" s="57"/>
      <c r="H23" s="57"/>
      <c r="I23" s="215"/>
      <c r="J23" s="142" t="str">
        <f>IF(K19=0,"",IF(K23="","※",IF(OR(K23=K24,K23=K25,K23=K26,K23=K27)=TRUE,"E ","")))</f>
        <v/>
      </c>
      <c r="K23" s="177"/>
      <c r="L23" s="183"/>
      <c r="M23" s="1579"/>
      <c r="N23" s="1579"/>
      <c r="O23" s="1579"/>
      <c r="P23" s="1579"/>
      <c r="Q23" s="214"/>
      <c r="R23" s="766" t="str">
        <f>IF(J23="E","上に詰めてください",IF(J23="E ","理由が重複しています",""))</f>
        <v/>
      </c>
      <c r="S23" s="766"/>
      <c r="T23" s="1153" t="str">
        <f t="shared" ref="T23:T29" si="1">R23</f>
        <v/>
      </c>
    </row>
    <row r="24" spans="3:23" ht="15" customHeight="1">
      <c r="C24" s="51"/>
      <c r="D24" s="83"/>
      <c r="E24" s="42" t="s">
        <v>267</v>
      </c>
      <c r="F24" s="42"/>
      <c r="G24" s="42"/>
      <c r="H24" s="42"/>
      <c r="I24" s="216"/>
      <c r="J24" s="142" t="str">
        <f>IF(AND(OR(K23="")=TRUE,K24&lt;&gt;"")=TRUE,"E",IF(K24="","",IF(OR(K24=K23,K24=K25,K24=K26,K24=K27)=TRUE,"E ","")))</f>
        <v/>
      </c>
      <c r="K24" s="177"/>
      <c r="L24" s="189"/>
      <c r="M24" s="1579"/>
      <c r="N24" s="1579"/>
      <c r="O24" s="1579"/>
      <c r="P24" s="1579"/>
      <c r="Q24" s="214"/>
      <c r="R24" s="766" t="str">
        <f>IF(J24="E","上に詰めてください",IF(J24="E ","理由が重複しています",""))</f>
        <v/>
      </c>
      <c r="S24" s="766"/>
      <c r="T24" s="1153" t="str">
        <f t="shared" si="1"/>
        <v/>
      </c>
    </row>
    <row r="25" spans="3:23" ht="15" customHeight="1">
      <c r="C25" s="51"/>
      <c r="D25" s="83"/>
      <c r="E25" s="42" t="s">
        <v>268</v>
      </c>
      <c r="F25" s="42"/>
      <c r="G25" s="42"/>
      <c r="H25" s="42"/>
      <c r="I25" s="216"/>
      <c r="J25" s="142" t="str">
        <f>IF(AND(OR(K23="",K24="")=TRUE,K25&lt;&gt;"")=TRUE,"E",IF(K25="","",IF(OR(K25=K24,K25=K23,K25=K26,K25=K27)=TRUE,"E ","")))</f>
        <v/>
      </c>
      <c r="K25" s="177"/>
      <c r="L25" s="189"/>
      <c r="M25" s="1579"/>
      <c r="N25" s="1579"/>
      <c r="O25" s="1579"/>
      <c r="P25" s="1579"/>
      <c r="Q25" s="214"/>
      <c r="R25" s="766" t="str">
        <f>IF(J25="E","上に詰めてください",IF(J25="E ","理由が重複しています",""))</f>
        <v/>
      </c>
      <c r="S25" s="766"/>
      <c r="T25" s="1153" t="str">
        <f t="shared" si="1"/>
        <v/>
      </c>
    </row>
    <row r="26" spans="3:23" ht="15" customHeight="1">
      <c r="C26" s="51"/>
      <c r="D26" s="83"/>
      <c r="E26" s="42" t="s">
        <v>270</v>
      </c>
      <c r="F26" s="42"/>
      <c r="G26" s="42"/>
      <c r="H26" s="42"/>
      <c r="I26" s="216"/>
      <c r="J26" s="142" t="str">
        <f>IF(AND(OR(K23="",K24="",K25="")=TRUE,K26&lt;&gt;"")=TRUE,"E",IF(K26="","",IF(OR(K26=K25,K26=K24,K26=K23,K26=K27)=TRUE,"E ","")))</f>
        <v/>
      </c>
      <c r="K26" s="177"/>
      <c r="L26" s="189"/>
      <c r="M26" s="1579"/>
      <c r="N26" s="1579"/>
      <c r="O26" s="1579"/>
      <c r="P26" s="1579"/>
      <c r="Q26" s="214"/>
      <c r="R26" s="766" t="str">
        <f>IF(J26="E","上に詰めてください",IF(J26="E ","理由が重複しています",""))</f>
        <v/>
      </c>
      <c r="S26" s="766"/>
      <c r="T26" s="1153" t="str">
        <f t="shared" si="1"/>
        <v/>
      </c>
    </row>
    <row r="27" spans="3:23" ht="15" customHeight="1">
      <c r="C27" s="51"/>
      <c r="D27" s="52"/>
      <c r="E27" s="23"/>
      <c r="F27" s="23"/>
      <c r="G27" s="23"/>
      <c r="H27" s="23"/>
      <c r="I27" s="217"/>
      <c r="J27" s="142" t="str">
        <f>IF(AND(OR(K23="",K24="",K25="",K26="")=TRUE,K27&lt;&gt;"")=TRUE,"E",IF(K27="","",IF(OR(K27=K26,K27=K25,K27=K24,K27=K23)=TRUE,"E ","")))</f>
        <v/>
      </c>
      <c r="K27" s="177"/>
      <c r="L27" s="186"/>
      <c r="M27" s="1579"/>
      <c r="N27" s="1579"/>
      <c r="O27" s="1579"/>
      <c r="P27" s="1579"/>
      <c r="Q27" s="214"/>
      <c r="R27" s="766" t="str">
        <f>IF(J27="E","上に詰めてください",IF(J27="E ","理由が重複しています",""))</f>
        <v/>
      </c>
      <c r="S27" s="766"/>
      <c r="T27" s="1153" t="str">
        <f t="shared" si="1"/>
        <v/>
      </c>
    </row>
    <row r="28" spans="3:23" ht="15" customHeight="1">
      <c r="C28" s="51"/>
      <c r="D28" s="53" t="s">
        <v>571</v>
      </c>
      <c r="E28" s="25" t="s">
        <v>129</v>
      </c>
      <c r="F28" s="25"/>
      <c r="G28" s="25"/>
      <c r="H28" s="25"/>
      <c r="I28" s="54" t="s">
        <v>271</v>
      </c>
      <c r="J28" s="713" t="str">
        <f>IF(K28&lt;&gt;"",IF(AND(K23&lt;&gt;"その他",K24&lt;&gt;"その他",K25&lt;&gt;"その他",K26&lt;&gt;"その他",K27&lt;&gt;"その他")=TRUE,"E",""),IF(OR(K23="その他",K24="その他",K25="その他",K26="その他",K27="その他")=TRUE,"※",""))</f>
        <v/>
      </c>
      <c r="K28" s="94"/>
      <c r="L28" s="96"/>
      <c r="M28" s="1580"/>
      <c r="N28" s="1580"/>
      <c r="O28" s="1580"/>
      <c r="P28" s="1580"/>
      <c r="Q28" s="72"/>
      <c r="R28" s="767" t="str">
        <f>IF(J28="E","５．その他を選んで下さい",IF(J28="※","具体的に記述して下さい",""))</f>
        <v/>
      </c>
      <c r="S28" s="767"/>
      <c r="T28" s="1153" t="str">
        <f t="shared" si="1"/>
        <v/>
      </c>
    </row>
    <row r="29" spans="3:23" ht="15" customHeight="1">
      <c r="C29" s="51" t="s">
        <v>1445</v>
      </c>
      <c r="D29" s="23" t="s">
        <v>131</v>
      </c>
      <c r="E29" s="23"/>
      <c r="F29" s="23"/>
      <c r="G29" s="23"/>
      <c r="H29" s="23"/>
      <c r="I29" s="23"/>
      <c r="J29" s="714" t="str">
        <f>IF(K29&lt;0,"E","")</f>
        <v/>
      </c>
      <c r="K29" s="143">
        <f>R48-S48</f>
        <v>0</v>
      </c>
      <c r="L29" s="97" t="s">
        <v>574</v>
      </c>
      <c r="M29" s="1579"/>
      <c r="N29" s="1579"/>
      <c r="O29" s="1579"/>
      <c r="P29" s="1579"/>
      <c r="Q29" s="214"/>
      <c r="R29" s="768" t="str">
        <f>IF(J29="E","休日の内訳を確認して下さい。","")</f>
        <v/>
      </c>
      <c r="S29" s="768"/>
      <c r="T29" s="1154" t="str">
        <f t="shared" si="1"/>
        <v/>
      </c>
      <c r="W29" s="4"/>
    </row>
    <row r="30" spans="3:23" ht="15" customHeight="1">
      <c r="C30" s="51" t="s">
        <v>1446</v>
      </c>
      <c r="D30" s="25" t="s">
        <v>133</v>
      </c>
      <c r="E30" s="25"/>
      <c r="F30" s="25"/>
      <c r="G30" s="25"/>
      <c r="H30" s="25"/>
      <c r="I30" s="25"/>
      <c r="J30" s="140"/>
      <c r="K30" s="25"/>
      <c r="L30" s="96"/>
      <c r="M30" s="1579"/>
      <c r="N30" s="1579"/>
      <c r="O30" s="1579"/>
      <c r="P30" s="1579"/>
      <c r="Q30" s="214"/>
      <c r="R30" s="723"/>
      <c r="S30" s="765"/>
      <c r="T30" s="1153"/>
    </row>
    <row r="31" spans="3:23" ht="15" customHeight="1">
      <c r="C31" s="55"/>
      <c r="D31" s="56" t="s">
        <v>570</v>
      </c>
      <c r="E31" s="57" t="s">
        <v>272</v>
      </c>
      <c r="F31" s="57"/>
      <c r="G31" s="57"/>
      <c r="H31" s="57"/>
      <c r="I31" s="57"/>
      <c r="J31" s="715" t="str">
        <f>IF(K31="","※","")</f>
        <v>※</v>
      </c>
      <c r="K31" s="126"/>
      <c r="L31" s="183" t="s">
        <v>574</v>
      </c>
      <c r="M31" s="1579"/>
      <c r="N31" s="1579"/>
      <c r="O31" s="1579"/>
      <c r="P31" s="1579"/>
      <c r="Q31" s="214"/>
      <c r="R31" s="1589" t="s">
        <v>991</v>
      </c>
      <c r="S31" s="769"/>
      <c r="T31" s="1153"/>
    </row>
    <row r="32" spans="3:23" ht="15" customHeight="1">
      <c r="C32" s="55"/>
      <c r="D32" s="83"/>
      <c r="E32" s="42"/>
      <c r="F32" s="42"/>
      <c r="G32" s="42"/>
      <c r="H32" s="42"/>
      <c r="I32" s="42" t="s">
        <v>273</v>
      </c>
      <c r="J32" s="715" t="str">
        <f>IF(K32="","※","")</f>
        <v>※</v>
      </c>
      <c r="K32" s="94"/>
      <c r="L32" s="97" t="s">
        <v>274</v>
      </c>
      <c r="M32" s="1579"/>
      <c r="N32" s="1579"/>
      <c r="O32" s="1579"/>
      <c r="P32" s="1579"/>
      <c r="Q32" s="214"/>
      <c r="R32" s="1589"/>
      <c r="S32" s="769"/>
      <c r="T32" s="1153"/>
    </row>
    <row r="33" spans="1:20" ht="15" customHeight="1">
      <c r="A33" s="218"/>
      <c r="B33" s="219"/>
      <c r="C33" s="58"/>
      <c r="D33" s="59" t="s">
        <v>571</v>
      </c>
      <c r="E33" s="60" t="s">
        <v>275</v>
      </c>
      <c r="F33" s="60"/>
      <c r="G33" s="57"/>
      <c r="H33" s="57"/>
      <c r="I33" s="57"/>
      <c r="J33" s="715" t="str">
        <f>IF(K33="","※",IF(K33&lt;K34,"E",""))</f>
        <v>※</v>
      </c>
      <c r="K33" s="127"/>
      <c r="L33" s="185" t="s">
        <v>574</v>
      </c>
      <c r="M33" s="1579"/>
      <c r="N33" s="1579"/>
      <c r="O33" s="1579"/>
      <c r="P33" s="1579"/>
      <c r="Q33" s="214"/>
      <c r="R33" s="1589" t="s">
        <v>991</v>
      </c>
      <c r="S33" s="769"/>
      <c r="T33" s="1153" t="str">
        <f>IF(J33="E","祝日休を確認して下さい。","")</f>
        <v/>
      </c>
    </row>
    <row r="34" spans="1:20" ht="15" customHeight="1">
      <c r="A34" s="218"/>
      <c r="B34" s="219"/>
      <c r="C34" s="58"/>
      <c r="D34" s="184"/>
      <c r="E34" s="62"/>
      <c r="F34" s="42" t="s">
        <v>276</v>
      </c>
      <c r="G34" s="42"/>
      <c r="H34" s="42"/>
      <c r="I34" s="62"/>
      <c r="J34" s="715" t="str">
        <f>IF(K34="","※",IF(K33&lt;K34,"E",""))</f>
        <v>※</v>
      </c>
      <c r="K34" s="127"/>
      <c r="L34" s="186" t="s">
        <v>134</v>
      </c>
      <c r="M34" s="1579"/>
      <c r="N34" s="1579"/>
      <c r="O34" s="1579"/>
      <c r="P34" s="1579"/>
      <c r="Q34" s="214"/>
      <c r="R34" s="1589"/>
      <c r="S34" s="769" t="s">
        <v>1004</v>
      </c>
      <c r="T34" s="782" t="str">
        <f>IF(K33&lt;K34,"日曜休・土曜休を確認して下さい。","")</f>
        <v/>
      </c>
    </row>
    <row r="35" spans="1:20" ht="15" customHeight="1">
      <c r="A35" s="218"/>
      <c r="B35" s="219"/>
      <c r="C35" s="58"/>
      <c r="D35" s="59" t="s">
        <v>135</v>
      </c>
      <c r="E35" s="60" t="s">
        <v>277</v>
      </c>
      <c r="F35" s="60"/>
      <c r="G35" s="57"/>
      <c r="H35" s="57"/>
      <c r="I35" s="57"/>
      <c r="J35" s="715" t="str">
        <f>IF(K35="","※",IF(K35&lt;K36,"E",""))</f>
        <v>※</v>
      </c>
      <c r="K35" s="127"/>
      <c r="L35" s="187" t="s">
        <v>574</v>
      </c>
      <c r="M35" s="1579"/>
      <c r="N35" s="1579"/>
      <c r="O35" s="1579"/>
      <c r="P35" s="1579"/>
      <c r="Q35" s="214"/>
      <c r="R35" s="1589" t="s">
        <v>991</v>
      </c>
      <c r="S35" s="769"/>
      <c r="T35" s="782" t="str">
        <f>IF(J35="E","年末年始を確認して下さい。","")</f>
        <v/>
      </c>
    </row>
    <row r="36" spans="1:20" ht="15" customHeight="1">
      <c r="A36" s="218"/>
      <c r="B36" s="219"/>
      <c r="C36" s="58"/>
      <c r="D36" s="184"/>
      <c r="E36" s="62"/>
      <c r="F36" s="62" t="s">
        <v>166</v>
      </c>
      <c r="G36" s="42"/>
      <c r="H36" s="42"/>
      <c r="I36" s="42"/>
      <c r="J36" s="715" t="str">
        <f>IF(K36="","※",IF(K35&lt;K36,"E",""))</f>
        <v>※</v>
      </c>
      <c r="K36" s="127"/>
      <c r="L36" s="97" t="s">
        <v>134</v>
      </c>
      <c r="M36" s="1579"/>
      <c r="N36" s="1579"/>
      <c r="O36" s="1579"/>
      <c r="P36" s="1579"/>
      <c r="Q36" s="214"/>
      <c r="R36" s="1589"/>
      <c r="S36" s="769" t="s">
        <v>1004</v>
      </c>
      <c r="T36" s="782" t="str">
        <f>IF(K35&lt;K36,"日曜休・土曜休を確認して下さい。","")</f>
        <v/>
      </c>
    </row>
    <row r="37" spans="1:20" ht="15" customHeight="1">
      <c r="A37" s="218"/>
      <c r="B37" s="219"/>
      <c r="C37" s="58"/>
      <c r="D37" s="59" t="s">
        <v>136</v>
      </c>
      <c r="E37" s="60" t="s">
        <v>167</v>
      </c>
      <c r="F37" s="60"/>
      <c r="G37" s="57"/>
      <c r="H37" s="57"/>
      <c r="I37" s="57"/>
      <c r="J37" s="715" t="str">
        <f>IF(K37="","※",IF(K37&lt;K38,"E",""))</f>
        <v>※</v>
      </c>
      <c r="K37" s="127"/>
      <c r="L37" s="187" t="s">
        <v>574</v>
      </c>
      <c r="M37" s="1579"/>
      <c r="N37" s="1579"/>
      <c r="O37" s="1579"/>
      <c r="P37" s="1579"/>
      <c r="Q37" s="214"/>
      <c r="R37" s="1589" t="s">
        <v>991</v>
      </c>
      <c r="S37" s="769"/>
      <c r="T37" s="782" t="str">
        <f>IF(J37="E","ｺﾞｰﾙﾃﾞﾝｳｨｰｸを確認して下さい。","")</f>
        <v/>
      </c>
    </row>
    <row r="38" spans="1:20" ht="15" customHeight="1">
      <c r="A38" s="218"/>
      <c r="B38" s="219"/>
      <c r="C38" s="58"/>
      <c r="D38" s="184"/>
      <c r="E38" s="62"/>
      <c r="F38" s="62" t="s">
        <v>166</v>
      </c>
      <c r="G38" s="42"/>
      <c r="H38" s="42"/>
      <c r="I38" s="42"/>
      <c r="J38" s="715" t="str">
        <f>IF(K38="","※",IF(K37&lt;K38,"E",""))</f>
        <v>※</v>
      </c>
      <c r="K38" s="127"/>
      <c r="L38" s="97" t="s">
        <v>134</v>
      </c>
      <c r="M38" s="1579"/>
      <c r="N38" s="1579"/>
      <c r="O38" s="1579"/>
      <c r="P38" s="1579"/>
      <c r="Q38" s="214"/>
      <c r="R38" s="1589"/>
      <c r="S38" s="769" t="s">
        <v>1004</v>
      </c>
      <c r="T38" s="782" t="str">
        <f>IF(J38="E","日曜休・土曜休を確認して下さい。","")</f>
        <v/>
      </c>
    </row>
    <row r="39" spans="1:20" ht="15" customHeight="1">
      <c r="A39" s="218"/>
      <c r="B39" s="219"/>
      <c r="C39" s="58"/>
      <c r="D39" s="59" t="s">
        <v>137</v>
      </c>
      <c r="E39" s="60" t="s">
        <v>168</v>
      </c>
      <c r="F39" s="60"/>
      <c r="G39" s="57"/>
      <c r="H39" s="57"/>
      <c r="I39" s="57"/>
      <c r="J39" s="715" t="str">
        <f>IF(K39="","※",IF(K39&lt;K40,"E",""))</f>
        <v>※</v>
      </c>
      <c r="K39" s="127"/>
      <c r="L39" s="187" t="s">
        <v>574</v>
      </c>
      <c r="M39" s="1579"/>
      <c r="N39" s="1579"/>
      <c r="O39" s="1579"/>
      <c r="P39" s="1579"/>
      <c r="Q39" s="214"/>
      <c r="R39" s="1589" t="s">
        <v>991</v>
      </c>
      <c r="S39" s="769"/>
      <c r="T39" s="782" t="str">
        <f>IF(J39="E","夏休みを確認して下さい。","")</f>
        <v/>
      </c>
    </row>
    <row r="40" spans="1:20" ht="15" customHeight="1">
      <c r="A40" s="218"/>
      <c r="B40" s="219"/>
      <c r="C40" s="58"/>
      <c r="D40" s="184"/>
      <c r="E40" s="62"/>
      <c r="F40" s="62" t="s">
        <v>166</v>
      </c>
      <c r="G40" s="42"/>
      <c r="H40" s="42"/>
      <c r="I40" s="42"/>
      <c r="J40" s="715" t="str">
        <f>IF(K40="","※",IF(K39&lt;K40,"E",""))</f>
        <v>※</v>
      </c>
      <c r="K40" s="127"/>
      <c r="L40" s="97" t="s">
        <v>134</v>
      </c>
      <c r="M40" s="1579"/>
      <c r="N40" s="1579"/>
      <c r="O40" s="1579"/>
      <c r="P40" s="1579"/>
      <c r="Q40" s="214"/>
      <c r="R40" s="1589"/>
      <c r="S40" s="769" t="s">
        <v>1004</v>
      </c>
      <c r="T40" s="782" t="str">
        <f>IF(J40="E","日曜休・土曜休を確認して下さい。","")</f>
        <v/>
      </c>
    </row>
    <row r="41" spans="1:20" ht="15" customHeight="1">
      <c r="A41" s="218"/>
      <c r="B41" s="219"/>
      <c r="C41" s="61"/>
      <c r="D41" s="59" t="s">
        <v>138</v>
      </c>
      <c r="E41" s="60" t="s">
        <v>709</v>
      </c>
      <c r="F41" s="60"/>
      <c r="G41" s="57"/>
      <c r="H41" s="57"/>
      <c r="I41" s="57"/>
      <c r="J41" s="715" t="str">
        <f>IF(K41="","※",IF(AND(K41=0,K42&lt;&gt;"")=TRUE,"E",IF(K41&lt;K43,"E","")))</f>
        <v>※</v>
      </c>
      <c r="K41" s="127"/>
      <c r="L41" s="187" t="s">
        <v>574</v>
      </c>
      <c r="M41" s="1579"/>
      <c r="N41" s="1579"/>
      <c r="O41" s="1579"/>
      <c r="P41" s="1579"/>
      <c r="Q41" s="214"/>
      <c r="R41" s="1589" t="s">
        <v>991</v>
      </c>
      <c r="S41" s="769"/>
      <c r="T41" s="782" t="str">
        <f>IF(J41="E","その他を確認して下さい。","")</f>
        <v/>
      </c>
    </row>
    <row r="42" spans="1:20" ht="15" customHeight="1">
      <c r="A42" s="218"/>
      <c r="B42" s="219"/>
      <c r="C42" s="61"/>
      <c r="D42" s="62"/>
      <c r="E42" s="62"/>
      <c r="F42" s="26" t="s">
        <v>169</v>
      </c>
      <c r="G42" s="26"/>
      <c r="H42" s="23"/>
      <c r="I42" s="793" t="str">
        <f>IF(K41&lt;&gt;"",IF(K41&gt;=1,"内容を入力して下さい。：","入力不要："),"")</f>
        <v/>
      </c>
      <c r="J42" s="715" t="str">
        <f>IF(AND(K41&lt;&gt;0,K42="")=TRUE,"※","")</f>
        <v/>
      </c>
      <c r="K42" s="1806"/>
      <c r="L42" s="1807"/>
      <c r="M42" s="1807"/>
      <c r="N42" s="1807"/>
      <c r="O42" s="1807"/>
      <c r="P42" s="1807"/>
      <c r="Q42" s="72" t="s">
        <v>5427</v>
      </c>
      <c r="R42" s="1589"/>
      <c r="S42" s="769"/>
    </row>
    <row r="43" spans="1:20" ht="15" customHeight="1">
      <c r="A43" s="218"/>
      <c r="B43" s="219"/>
      <c r="C43" s="61"/>
      <c r="D43" s="62"/>
      <c r="E43" s="62"/>
      <c r="F43" s="60" t="s">
        <v>166</v>
      </c>
      <c r="G43" s="57"/>
      <c r="H43" s="57"/>
      <c r="I43" s="57"/>
      <c r="J43" s="715" t="str">
        <f>IF(K43="","※",IF(K41&lt;K43,"E",""))</f>
        <v>※</v>
      </c>
      <c r="K43" s="127"/>
      <c r="L43" s="96" t="s">
        <v>134</v>
      </c>
      <c r="M43" s="1579"/>
      <c r="N43" s="1579"/>
      <c r="O43" s="1579"/>
      <c r="P43" s="1579"/>
      <c r="Q43" s="214"/>
      <c r="R43" s="1589"/>
      <c r="S43" s="769" t="s">
        <v>1004</v>
      </c>
      <c r="T43" s="782" t="str">
        <f>IF(J43="E","日曜休・土曜休を確認して下さい。","")</f>
        <v/>
      </c>
    </row>
    <row r="44" spans="1:20" ht="15" customHeight="1">
      <c r="A44" s="218"/>
      <c r="B44" s="219"/>
      <c r="C44" s="71" t="s">
        <v>1447</v>
      </c>
      <c r="D44" s="24" t="s">
        <v>139</v>
      </c>
      <c r="E44" s="24"/>
      <c r="F44" s="24"/>
      <c r="G44" s="24"/>
      <c r="H44" s="24"/>
      <c r="I44" s="25"/>
      <c r="J44" s="716" t="str">
        <f>IF(K44="","※","")</f>
        <v>※</v>
      </c>
      <c r="K44" s="127"/>
      <c r="L44" s="98" t="s">
        <v>574</v>
      </c>
      <c r="M44" s="1579"/>
      <c r="N44" s="1579"/>
      <c r="O44" s="1579"/>
      <c r="P44" s="1579"/>
      <c r="Q44" s="214"/>
      <c r="R44" s="1589"/>
      <c r="S44" s="769"/>
    </row>
    <row r="45" spans="1:20" ht="15" customHeight="1">
      <c r="A45" s="218"/>
      <c r="B45" s="219"/>
      <c r="C45" s="71" t="s">
        <v>1448</v>
      </c>
      <c r="D45" s="24" t="s">
        <v>140</v>
      </c>
      <c r="E45" s="24"/>
      <c r="F45" s="24"/>
      <c r="G45" s="24"/>
      <c r="H45" s="24"/>
      <c r="I45" s="25"/>
      <c r="J45" s="715" t="str">
        <f>IF(K45="","※","")</f>
        <v>※</v>
      </c>
      <c r="K45" s="127"/>
      <c r="L45" s="99" t="s">
        <v>574</v>
      </c>
      <c r="M45" s="1579"/>
      <c r="N45" s="1579"/>
      <c r="O45" s="1579"/>
      <c r="P45" s="1579"/>
      <c r="Q45" s="214"/>
      <c r="R45" s="1589"/>
      <c r="S45" s="769"/>
    </row>
    <row r="46" spans="1:20" ht="6" customHeight="1">
      <c r="A46" s="218"/>
      <c r="B46" s="219"/>
      <c r="C46" s="220"/>
      <c r="D46" s="221"/>
      <c r="E46" s="221"/>
      <c r="F46" s="221"/>
      <c r="G46" s="221"/>
      <c r="H46" s="222"/>
      <c r="I46" s="221"/>
      <c r="J46" s="79"/>
      <c r="K46" s="63"/>
      <c r="L46" s="100"/>
      <c r="M46" s="1588"/>
      <c r="N46" s="1588"/>
      <c r="O46" s="1588"/>
      <c r="P46" s="1588"/>
      <c r="Q46" s="1590"/>
    </row>
    <row r="47" spans="1:20">
      <c r="R47" s="93" t="s">
        <v>1067</v>
      </c>
      <c r="S47" s="93" t="s">
        <v>1068</v>
      </c>
    </row>
    <row r="48" spans="1:20">
      <c r="C48" s="73" t="s">
        <v>657</v>
      </c>
      <c r="E48" s="42"/>
      <c r="F48" s="42"/>
      <c r="G48" s="42"/>
      <c r="H48" s="42"/>
      <c r="I48" s="165"/>
      <c r="R48" s="93">
        <f>SUMIF(R31:R45,"○",K31:K45)</f>
        <v>0</v>
      </c>
      <c r="S48" s="93">
        <f>SUMIF(S31:S45,"○",K31:K45)</f>
        <v>0</v>
      </c>
    </row>
    <row r="49" spans="3:17">
      <c r="C49" s="418" t="s">
        <v>579</v>
      </c>
      <c r="D49" s="419"/>
      <c r="E49" s="419"/>
      <c r="F49" s="419"/>
      <c r="G49" s="419"/>
      <c r="H49" s="419"/>
      <c r="I49" s="420"/>
      <c r="J49" s="420"/>
      <c r="K49" s="419"/>
      <c r="L49" s="419"/>
      <c r="M49" s="421"/>
      <c r="N49" s="1581"/>
      <c r="O49" s="1581"/>
      <c r="P49" s="1581"/>
      <c r="Q49" s="1581"/>
    </row>
    <row r="50" spans="3:17" ht="13.5" customHeight="1">
      <c r="C50" s="422" t="s">
        <v>580</v>
      </c>
      <c r="D50" s="423"/>
      <c r="E50" s="423"/>
      <c r="F50" s="424"/>
      <c r="G50" s="425"/>
      <c r="H50" s="424"/>
      <c r="I50" s="426"/>
      <c r="J50" s="426"/>
      <c r="K50" s="423"/>
      <c r="L50" s="423"/>
      <c r="M50" s="427"/>
      <c r="N50" s="1581"/>
      <c r="O50" s="1581"/>
      <c r="P50" s="1581"/>
      <c r="Q50" s="1581"/>
    </row>
    <row r="51" spans="3:17">
      <c r="C51" s="428" t="s">
        <v>581</v>
      </c>
      <c r="D51" s="423"/>
      <c r="E51" s="423"/>
      <c r="F51" s="423"/>
      <c r="G51" s="423"/>
      <c r="H51" s="423"/>
      <c r="I51" s="426"/>
      <c r="J51" s="426"/>
      <c r="K51" s="423"/>
      <c r="L51" s="423"/>
      <c r="M51" s="427"/>
      <c r="N51" s="1581"/>
      <c r="O51" s="1581"/>
      <c r="P51" s="1581"/>
      <c r="Q51" s="1581"/>
    </row>
    <row r="52" spans="3:17">
      <c r="C52" s="429" t="s">
        <v>582</v>
      </c>
      <c r="D52" s="430"/>
      <c r="E52" s="430"/>
      <c r="F52" s="430"/>
      <c r="G52" s="430"/>
      <c r="H52" s="430"/>
      <c r="I52" s="430"/>
      <c r="J52" s="431"/>
      <c r="K52" s="430"/>
      <c r="L52" s="430"/>
      <c r="M52" s="432"/>
      <c r="N52" s="1582"/>
      <c r="O52" s="1582"/>
      <c r="P52" s="1582"/>
      <c r="Q52" s="1582"/>
    </row>
    <row r="53" spans="3:17">
      <c r="C53" s="433" t="s">
        <v>583</v>
      </c>
      <c r="D53" s="434"/>
      <c r="E53" s="434"/>
      <c r="F53" s="434"/>
      <c r="G53" s="434"/>
      <c r="H53" s="434"/>
      <c r="I53" s="434"/>
      <c r="J53" s="435"/>
      <c r="K53" s="434"/>
      <c r="L53" s="434"/>
      <c r="M53" s="436"/>
      <c r="N53" s="1582"/>
      <c r="O53" s="1582"/>
      <c r="P53" s="1582"/>
      <c r="Q53" s="1582"/>
    </row>
    <row r="67" spans="5:11">
      <c r="J67" s="210"/>
      <c r="K67" s="210"/>
    </row>
    <row r="69" spans="5:11">
      <c r="E69" s="42"/>
    </row>
    <row r="72" spans="5:11">
      <c r="F72" s="116"/>
    </row>
  </sheetData>
  <sheetProtection algorithmName="SHA-512" hashValue="/taoO1V+mWrBo17FuJTFPmIE1xdeFvIwNWplWxcTmQy06bLPaP0AEhc4cKZ5MZMYRvP//TcSV4ruPXK4W7u5ew==" saltValue="8Jap80RCLKPrUJj3YowDLA==" spinCount="100000" sheet="1" objects="1" scenarios="1"/>
  <mergeCells count="5">
    <mergeCell ref="C3:E3"/>
    <mergeCell ref="F3:L3"/>
    <mergeCell ref="K8:P8"/>
    <mergeCell ref="K42:P42"/>
    <mergeCell ref="D7:I7"/>
  </mergeCells>
  <phoneticPr fontId="4"/>
  <dataValidations xWindow="510" yWindow="255" count="6">
    <dataValidation type="whole" operator="greaterThanOrEqual" allowBlank="1" showInputMessage="1" showErrorMessage="1" sqref="K31:K41 K43:K45 K18:K21" xr:uid="{00000000-0002-0000-0400-000000000000}">
      <formula1>0</formula1>
    </dataValidation>
    <dataValidation type="custom" allowBlank="1" showInputMessage="1" showErrorMessage="1" sqref="K28" xr:uid="{00000000-0002-0000-0400-000001000000}">
      <formula1>TRIM(K28)&lt;&gt;""</formula1>
    </dataValidation>
    <dataValidation type="list" allowBlank="1" showInputMessage="1" showErrorMessage="1" promptTitle="想定した作業不能の要因" prompt="a.リストから選択してください。_x000a_b.「５：その他」を選択した場合、具体的に入力してください。_x000a_理由が複数あるときは、上に詰めて選択してください。_x000a_" sqref="K23:K27" xr:uid="{00000000-0002-0000-0400-000002000000}">
      <formula1>作業不能の要因</formula1>
    </dataValidation>
    <dataValidation type="list" allowBlank="1" showInputMessage="1" showErrorMessage="1" sqref="K9:K14" xr:uid="{6965A52A-2B34-4D96-AF48-FCA172E9BB18}">
      <formula1>年</formula1>
    </dataValidation>
    <dataValidation type="list" allowBlank="1" showInputMessage="1" showErrorMessage="1" sqref="K7" xr:uid="{0977AE1B-DC44-4AC1-A1CC-C031AD964D6B}">
      <formula1>Yes_No</formula1>
    </dataValidation>
    <dataValidation type="list" allowBlank="1" showInputMessage="1" showErrorMessage="1" sqref="K8:P8" xr:uid="{1FD32B98-DC73-4383-BA49-3288AA0FF548}">
      <formula1>余裕期間</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ignoredErrors>
    <ignoredError sqref="T35 T3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indexed="44"/>
  </sheetPr>
  <dimension ref="A1:O791"/>
  <sheetViews>
    <sheetView showGridLines="0" topLeftCell="A2" zoomScaleNormal="100" zoomScaleSheetLayoutView="100" workbookViewId="0">
      <selection activeCell="H9" sqref="H9"/>
    </sheetView>
  </sheetViews>
  <sheetFormatPr defaultColWidth="10.625" defaultRowHeight="13.5"/>
  <cols>
    <col min="1" max="1" width="1.75" style="28" customWidth="1"/>
    <col min="2" max="3" width="3.625" style="28" customWidth="1"/>
    <col min="4" max="5" width="25.625" style="32" customWidth="1"/>
    <col min="6" max="6" width="3.625" style="32" customWidth="1"/>
    <col min="7" max="7" width="3.625" style="80" customWidth="1"/>
    <col min="8" max="8" width="16.375" style="28" customWidth="1"/>
    <col min="9" max="9" width="17" style="32" customWidth="1"/>
    <col min="10" max="10" width="2.625" style="92" customWidth="1"/>
    <col min="11" max="11" width="13.75" style="108" customWidth="1"/>
    <col min="12" max="12" width="2.125" style="28" customWidth="1"/>
    <col min="13" max="14" width="10.625" style="28" hidden="1" customWidth="1"/>
    <col min="15" max="16384" width="10.625" style="28"/>
  </cols>
  <sheetData>
    <row r="1" spans="1:15" ht="18" hidden="1" customHeight="1">
      <c r="A1" s="604" t="s">
        <v>534</v>
      </c>
      <c r="B1" s="604">
        <f>COUNTIF($G$8:$G$82,"※")</f>
        <v>13</v>
      </c>
      <c r="C1" s="605" t="s">
        <v>535</v>
      </c>
      <c r="D1" s="604">
        <f>COUNTIF($G$8:$G$82,"E")</f>
        <v>0</v>
      </c>
      <c r="J1" s="28"/>
      <c r="M1" s="921"/>
      <c r="N1" s="921"/>
    </row>
    <row r="2" spans="1:15" ht="27" customHeight="1">
      <c r="J2" s="28"/>
      <c r="L2" s="1618"/>
      <c r="O2" s="1618"/>
    </row>
    <row r="3" spans="1:15" ht="24" customHeight="1">
      <c r="C3" s="1716" t="s">
        <v>602</v>
      </c>
      <c r="D3" s="1798"/>
      <c r="E3" s="1754" t="str">
        <f>IF(工事情報!G4="","",工事情報!G4)</f>
        <v/>
      </c>
      <c r="F3" s="1705"/>
      <c r="G3" s="1705"/>
      <c r="H3" s="1705"/>
      <c r="I3" s="1705"/>
      <c r="J3" s="1706"/>
    </row>
    <row r="4" spans="1:15" ht="30" customHeight="1">
      <c r="J4" s="28"/>
    </row>
    <row r="5" spans="1:15" ht="15" customHeight="1">
      <c r="B5" s="3"/>
      <c r="C5" s="28" t="s">
        <v>327</v>
      </c>
      <c r="J5" s="28"/>
    </row>
    <row r="6" spans="1:15" ht="15" customHeight="1">
      <c r="D6" s="42"/>
      <c r="E6" s="42"/>
      <c r="J6" s="30"/>
    </row>
    <row r="7" spans="1:15" ht="13.5" customHeight="1">
      <c r="C7" s="27" t="s">
        <v>724</v>
      </c>
      <c r="D7" s="33"/>
      <c r="E7" s="33"/>
      <c r="F7" s="69"/>
      <c r="G7" s="81"/>
      <c r="H7" s="68" t="s">
        <v>725</v>
      </c>
      <c r="I7" s="33"/>
      <c r="J7" s="31"/>
    </row>
    <row r="8" spans="1:15" ht="24" customHeight="1">
      <c r="C8" s="46">
        <v>1</v>
      </c>
      <c r="D8" s="1853" t="s">
        <v>154</v>
      </c>
      <c r="E8" s="1854"/>
      <c r="F8" s="144"/>
      <c r="G8" s="145" t="str">
        <f>IF(H8="","※",IF(AND(OR(H9&lt;&gt;0,H10&lt;&gt;0),H8&lt;&gt;"YES")=TRUE,"E",""))</f>
        <v>※</v>
      </c>
      <c r="H8" s="178"/>
      <c r="I8" s="101" t="str">
        <f>IF(G8="E","YESを選択してください","")</f>
        <v/>
      </c>
      <c r="J8" s="85"/>
    </row>
    <row r="9" spans="1:15" ht="15" customHeight="1">
      <c r="C9" s="49"/>
      <c r="D9" s="1850" t="s">
        <v>781</v>
      </c>
      <c r="E9" s="1851"/>
      <c r="F9" s="148" t="s">
        <v>525</v>
      </c>
      <c r="G9" s="142" t="str">
        <f>IF(H8="","",IF(AND(H8="YES",H9=""),"※",""))</f>
        <v/>
      </c>
      <c r="H9" s="902"/>
      <c r="I9" s="45" t="s">
        <v>431</v>
      </c>
      <c r="J9" s="87"/>
    </row>
    <row r="10" spans="1:15" ht="15" customHeight="1">
      <c r="C10" s="47"/>
      <c r="D10" s="1829" t="s">
        <v>203</v>
      </c>
      <c r="E10" s="1830"/>
      <c r="F10" s="148" t="s">
        <v>525</v>
      </c>
      <c r="G10" s="142" t="str">
        <f>IF(H8="","",IF(AND(H8="YES",H10=""),"※",IF(H10&gt;2,"E","")))</f>
        <v/>
      </c>
      <c r="H10" s="506"/>
      <c r="I10" s="67" t="s">
        <v>692</v>
      </c>
      <c r="J10" s="453"/>
      <c r="K10" s="519" t="str">
        <f>IF(G10="E","積算基準の最大値は2％です。2以下を入力してください。","")</f>
        <v/>
      </c>
    </row>
    <row r="11" spans="1:15" ht="24" customHeight="1">
      <c r="C11" s="46">
        <v>2</v>
      </c>
      <c r="D11" s="1825" t="s">
        <v>899</v>
      </c>
      <c r="E11" s="1840"/>
      <c r="F11" s="144"/>
      <c r="G11" s="145" t="str">
        <f>IF(H11="","※",IF(AND(OR(H12&lt;&gt;"",H13&lt;&gt;"",H14&lt;&gt;"",H16&lt;&gt;"")=TRUE,H11&lt;&gt;"YES")=TRUE,"E",""))</f>
        <v>※</v>
      </c>
      <c r="H11" s="178"/>
      <c r="I11" s="102" t="str">
        <f>IF(G11="E","YESを選択してください","")</f>
        <v/>
      </c>
      <c r="J11" s="85"/>
      <c r="K11" s="535"/>
    </row>
    <row r="12" spans="1:15">
      <c r="C12" s="47"/>
      <c r="D12" s="1841" t="s">
        <v>902</v>
      </c>
      <c r="E12" s="1842"/>
      <c r="F12" s="148"/>
      <c r="G12" s="142" t="str">
        <f>IF(H11="","",IF(AND(H11="YES",H12=""),"※",""))</f>
        <v/>
      </c>
      <c r="H12" s="1146"/>
      <c r="I12" s="44"/>
      <c r="J12" s="87"/>
    </row>
    <row r="13" spans="1:15">
      <c r="C13" s="47"/>
      <c r="D13" s="1838" t="s">
        <v>900</v>
      </c>
      <c r="E13" s="1839"/>
      <c r="F13" s="148"/>
      <c r="G13" s="142" t="str">
        <f>IF(H11="","",IF(AND(H11="YES",H13=""),"※",""))</f>
        <v/>
      </c>
      <c r="H13" s="1146"/>
      <c r="I13" s="44"/>
      <c r="J13" s="87"/>
    </row>
    <row r="14" spans="1:15">
      <c r="C14" s="47"/>
      <c r="D14" s="907"/>
      <c r="E14" s="914" t="s">
        <v>1449</v>
      </c>
      <c r="F14" s="911"/>
      <c r="G14" s="912" t="str">
        <f>IF(H11="","",IF(AND(H11="YES",H14=""),"",""))</f>
        <v/>
      </c>
      <c r="H14" s="915"/>
      <c r="I14" s="913" t="s">
        <v>1450</v>
      </c>
      <c r="J14" s="916"/>
      <c r="K14" s="917" t="s">
        <v>1451</v>
      </c>
    </row>
    <row r="15" spans="1:15">
      <c r="C15" s="47"/>
      <c r="D15" s="1221"/>
      <c r="E15" s="914" t="s">
        <v>1804</v>
      </c>
      <c r="F15" s="148"/>
      <c r="G15" s="1227" t="str">
        <f>IF(H11="","",IF(AND(H11="YES",H15=""),"",""))</f>
        <v/>
      </c>
      <c r="H15" s="1228"/>
      <c r="I15" s="913"/>
      <c r="J15" s="916"/>
      <c r="K15" s="917"/>
    </row>
    <row r="16" spans="1:15">
      <c r="C16" s="47"/>
      <c r="D16" s="1838" t="s">
        <v>607</v>
      </c>
      <c r="E16" s="1847"/>
      <c r="F16" s="911"/>
      <c r="G16" s="142" t="str">
        <f>IF(H16="",IF(AND(H11="YES",H16=""),"※",""),IF(OR(H16=H17,H16=H18,H16=H19,H16=H20,H16=H21)=TRUE,"E ",""))</f>
        <v/>
      </c>
      <c r="H16" s="918"/>
      <c r="I16" s="1155" t="str">
        <f t="shared" ref="I16:I21" si="0">IF(G16="E","上に詰めてください",IF(G16="E ","理由が重複しています",""))</f>
        <v/>
      </c>
      <c r="J16" s="916"/>
    </row>
    <row r="17" spans="3:12">
      <c r="C17" s="47"/>
      <c r="D17" s="1838" t="s">
        <v>1452</v>
      </c>
      <c r="E17" s="1847"/>
      <c r="F17" s="911"/>
      <c r="G17" s="912" t="str">
        <f>IF(AND(OR(H16="")=TRUE,H17&lt;&gt;"")=TRUE,"E",IF(H17="","",IF(OR(H17=$H$16,H17=$H$18,H17=$H$19,H17=$H$20,H17=$H$21)=TRUE,"E ","")))</f>
        <v/>
      </c>
      <c r="H17" s="918"/>
      <c r="I17" s="1155" t="str">
        <f t="shared" si="0"/>
        <v/>
      </c>
      <c r="J17" s="916"/>
    </row>
    <row r="18" spans="3:12">
      <c r="C18" s="47"/>
      <c r="D18" s="1848" t="s">
        <v>1453</v>
      </c>
      <c r="E18" s="1847"/>
      <c r="F18" s="911"/>
      <c r="G18" s="912" t="str">
        <f>IF(AND(OR(H16="",H17="")=TRUE,H18&lt;&gt;"")=TRUE,"E",IF(H18="","",IF(OR(H18=H16,H18=H17,H18=H19,H18=H20,H18=H21)=TRUE,"E ","")))</f>
        <v/>
      </c>
      <c r="H18" s="918"/>
      <c r="I18" s="1155" t="str">
        <f t="shared" si="0"/>
        <v/>
      </c>
      <c r="J18" s="916"/>
    </row>
    <row r="19" spans="3:12">
      <c r="C19" s="47"/>
      <c r="D19" s="1838" t="s">
        <v>1454</v>
      </c>
      <c r="E19" s="1847"/>
      <c r="F19" s="911"/>
      <c r="G19" s="912" t="str">
        <f>IF(AND(OR(H16="",H17="",H18="")=TRUE,H19&lt;&gt;"")=TRUE,"E",IF(H19="","",IF(OR(H19=H16,H19=H17,H19=H18,H19=H20,H19=H21)=TRUE,"E ","")))</f>
        <v/>
      </c>
      <c r="H19" s="918"/>
      <c r="I19" s="1155" t="str">
        <f t="shared" si="0"/>
        <v/>
      </c>
      <c r="J19" s="916"/>
    </row>
    <row r="20" spans="3:12">
      <c r="C20" s="47"/>
      <c r="D20" s="1838" t="s">
        <v>1455</v>
      </c>
      <c r="E20" s="1847"/>
      <c r="F20" s="911"/>
      <c r="G20" s="912" t="str">
        <f>IF(AND(OR(H16="",H17="",H18="",H19="")=TRUE,H20&lt;&gt;"")=TRUE,"E",IF(H20="","",IF(OR(H20=H16,H20=H17,H20=H18,H20=H19,H20=H21)=TRUE,"E ","")))</f>
        <v/>
      </c>
      <c r="H20" s="918"/>
      <c r="I20" s="1155" t="str">
        <f t="shared" si="0"/>
        <v/>
      </c>
      <c r="J20" s="916"/>
    </row>
    <row r="21" spans="3:12">
      <c r="C21" s="66"/>
      <c r="D21" s="907"/>
      <c r="E21" s="914" t="s">
        <v>1456</v>
      </c>
      <c r="F21" s="146"/>
      <c r="G21" s="147" t="str">
        <f>IF(AND(OR(H16="",H17="",H18="",H19="",H20="")=TRUE,H21&lt;&gt;"")=TRUE,"E",IF(H21="","",IF(OR(H21=H16,H21=H17,H21=H18,H21=H19,H21=H20)=TRUE,"E ","")))</f>
        <v/>
      </c>
      <c r="H21" s="919"/>
      <c r="I21" s="1156" t="str">
        <f t="shared" si="0"/>
        <v/>
      </c>
      <c r="J21" s="920"/>
    </row>
    <row r="22" spans="3:12" ht="24" customHeight="1">
      <c r="C22" s="47">
        <v>3</v>
      </c>
      <c r="D22" s="1843" t="s">
        <v>726</v>
      </c>
      <c r="E22" s="1844"/>
      <c r="F22" s="149"/>
      <c r="G22" s="150" t="str">
        <f>IF(H22="","※","")</f>
        <v>※</v>
      </c>
      <c r="H22" s="179"/>
      <c r="J22" s="88"/>
    </row>
    <row r="23" spans="3:12" ht="24" customHeight="1">
      <c r="C23" s="46">
        <v>4</v>
      </c>
      <c r="D23" s="1825" t="s">
        <v>727</v>
      </c>
      <c r="E23" s="1840"/>
      <c r="F23" s="144"/>
      <c r="G23" s="145" t="str">
        <f>IF(H23="","※",IF(AND(H24&lt;&gt;0,H23&lt;&gt;"YES"),"E",""))</f>
        <v>※</v>
      </c>
      <c r="H23" s="180"/>
      <c r="I23" s="103" t="str">
        <f>IF(G23="E","YESを選択してください","")</f>
        <v/>
      </c>
      <c r="J23" s="85"/>
    </row>
    <row r="24" spans="3:12" ht="15" customHeight="1">
      <c r="C24" s="48"/>
      <c r="D24" s="1836" t="s">
        <v>605</v>
      </c>
      <c r="E24" s="1837"/>
      <c r="F24" s="146" t="s">
        <v>430</v>
      </c>
      <c r="G24" s="147" t="str">
        <f>IF(H23="","",IF(AND(H23="YES",H24=""),"※",""))</f>
        <v/>
      </c>
      <c r="H24" s="162"/>
      <c r="I24" s="43" t="s">
        <v>431</v>
      </c>
      <c r="J24" s="86"/>
    </row>
    <row r="25" spans="3:12" ht="24" customHeight="1">
      <c r="C25" s="47">
        <v>5</v>
      </c>
      <c r="D25" s="1845" t="s">
        <v>728</v>
      </c>
      <c r="E25" s="1846"/>
      <c r="F25" s="144"/>
      <c r="G25" s="145" t="str">
        <f>IF(H25="","※",IF(AND(H26&lt;&gt;0,H25&lt;&gt;"YES")=TRUE,"E",""))</f>
        <v>※</v>
      </c>
      <c r="H25" s="178"/>
      <c r="I25" s="104" t="str">
        <f>IF(G25="E","YESを選択してください","")</f>
        <v/>
      </c>
      <c r="J25" s="85"/>
    </row>
    <row r="26" spans="3:12" ht="15" customHeight="1">
      <c r="C26" s="48"/>
      <c r="D26" s="1836" t="s">
        <v>906</v>
      </c>
      <c r="E26" s="1837"/>
      <c r="F26" s="146" t="s">
        <v>430</v>
      </c>
      <c r="G26" s="147" t="str">
        <f>IF(H25="","",IF(AND(H25="YES",H26=""),"※",""))</f>
        <v/>
      </c>
      <c r="H26" s="162"/>
      <c r="I26" s="43" t="s">
        <v>432</v>
      </c>
      <c r="J26" s="86"/>
    </row>
    <row r="27" spans="3:12" ht="24" customHeight="1">
      <c r="C27" s="46">
        <v>6</v>
      </c>
      <c r="D27" s="1825" t="s">
        <v>729</v>
      </c>
      <c r="E27" s="1840"/>
      <c r="F27" s="144"/>
      <c r="G27" s="145" t="str">
        <f>IF(H27="","※",IF(AND(H28&lt;&gt;0,H27&lt;&gt;"YES")=TRUE,"E",""))</f>
        <v>※</v>
      </c>
      <c r="H27" s="178"/>
      <c r="I27" s="105" t="str">
        <f>IF(G27="E","YESを選択してください","")</f>
        <v/>
      </c>
      <c r="J27" s="89"/>
    </row>
    <row r="28" spans="3:12" ht="15" customHeight="1">
      <c r="C28" s="48"/>
      <c r="D28" s="1836" t="s">
        <v>439</v>
      </c>
      <c r="E28" s="1837"/>
      <c r="F28" s="146" t="s">
        <v>430</v>
      </c>
      <c r="G28" s="147" t="str">
        <f>IF(H27="","",IF(AND(H27="YES",H28=""),"※",""))</f>
        <v/>
      </c>
      <c r="H28" s="112"/>
      <c r="I28" s="43"/>
      <c r="J28" s="86" t="s">
        <v>911</v>
      </c>
    </row>
    <row r="29" spans="3:12" ht="24" customHeight="1">
      <c r="C29" s="46">
        <v>7</v>
      </c>
      <c r="D29" s="1825" t="s">
        <v>355</v>
      </c>
      <c r="E29" s="1849"/>
      <c r="F29" s="151"/>
      <c r="G29" s="141" t="str">
        <f>IF(H29="","※",IF(AND(OR(H30&lt;&gt;"",H31&lt;&gt;"",H32&lt;&gt;"",H33&lt;&gt;"",H34&lt;&gt;"",H35&lt;&gt;"",H36&lt;&gt;"",H37&lt;&gt;"")=TRUE,H29&lt;&gt;"YES"),"E",""))</f>
        <v>※</v>
      </c>
      <c r="H29" s="180"/>
      <c r="I29" s="109" t="str">
        <f>IF(G29="E","YESを選択してください","")</f>
        <v/>
      </c>
      <c r="J29" s="90"/>
    </row>
    <row r="30" spans="3:12" ht="15" customHeight="1">
      <c r="C30" s="47"/>
      <c r="D30" s="1819" t="s">
        <v>904</v>
      </c>
      <c r="E30" s="1820"/>
      <c r="F30" s="148" t="s">
        <v>430</v>
      </c>
      <c r="G30" s="142" t="str">
        <f>IF(H29="","",IF(AND(H29="YES",H30=""),"※",IF(AND(H29="NO",H30&lt;&gt;""),"E","")))</f>
        <v/>
      </c>
      <c r="H30" s="161"/>
      <c r="I30" s="82" t="s">
        <v>431</v>
      </c>
      <c r="J30" s="90"/>
    </row>
    <row r="31" spans="3:12" ht="15" customHeight="1">
      <c r="C31" s="49"/>
      <c r="D31" s="1838" t="s">
        <v>607</v>
      </c>
      <c r="E31" s="1847"/>
      <c r="F31" s="151"/>
      <c r="G31" s="141" t="str">
        <f>IF(AND(H29="NO",H31&lt;&gt;"")," E ",IF(H31="",IF(AND(H29="YES",H31=""),"※",""),IF(OR(H31=H32,H31=H33,H31=H34,H31=H35,H31=H36)=TRUE,"E ","")))</f>
        <v/>
      </c>
      <c r="H31" s="181"/>
      <c r="I31" s="125" t="str">
        <f t="shared" ref="I31:I36" si="1">IF(G31="E","上に詰めてください",IF(G31="E ","理由が重複しています",""))</f>
        <v/>
      </c>
      <c r="J31" s="87"/>
    </row>
    <row r="32" spans="3:12" ht="15" customHeight="1">
      <c r="C32" s="49"/>
      <c r="D32" s="1838" t="s">
        <v>315</v>
      </c>
      <c r="E32" s="1847"/>
      <c r="F32" s="148"/>
      <c r="G32" s="141" t="str">
        <f>IF(AND(H29="NO",H32&lt;&gt;"")," E ",IF(AND(OR(H31="")=TRUE,H32&lt;&gt;"")=TRUE,"E",IF(H32="","",IF(OR(H32=$H$31,H32=$H$33,H32=$H$34,H32=$H$35,H32=$H$36)=TRUE,"E ",""))))</f>
        <v/>
      </c>
      <c r="H32" s="181"/>
      <c r="I32" s="125" t="str">
        <f t="shared" si="1"/>
        <v/>
      </c>
      <c r="J32" s="87"/>
      <c r="L32" s="32"/>
    </row>
    <row r="33" spans="3:14" ht="13.5" customHeight="1">
      <c r="C33" s="49"/>
      <c r="D33" s="1838" t="s">
        <v>905</v>
      </c>
      <c r="E33" s="1847"/>
      <c r="F33" s="148"/>
      <c r="G33" s="142" t="str">
        <f>IF(AND(H29="NO",H33&lt;&gt;"")," E ",IF(AND(OR(H31="",H32="")=TRUE,H33&lt;&gt;"")=TRUE,"E",IF(H33="","",IF(OR(H33=H31,H33=H32,H33=H34,H33=H35,H33=H36)=TRUE,"E ",""))))</f>
        <v/>
      </c>
      <c r="H33" s="181"/>
      <c r="I33" s="125" t="str">
        <f t="shared" si="1"/>
        <v/>
      </c>
      <c r="J33" s="87"/>
      <c r="L33" s="32"/>
    </row>
    <row r="34" spans="3:14" ht="13.5" customHeight="1">
      <c r="C34" s="49"/>
      <c r="D34" s="1838" t="s">
        <v>404</v>
      </c>
      <c r="E34" s="1847"/>
      <c r="F34" s="148"/>
      <c r="G34" s="142" t="str">
        <f>IF(AND(H29="NO",H34&lt;&gt;"")," E ",IF(AND(OR(H31="",H32="",H33="")=TRUE,H34&lt;&gt;"")=TRUE,"E",IF(H34="","",IF(OR(H34=H31,H34=H32,H34=H33,H34=H35,H34=H36)=TRUE,"E ",""))))</f>
        <v/>
      </c>
      <c r="H34" s="181"/>
      <c r="I34" s="125" t="str">
        <f t="shared" si="1"/>
        <v/>
      </c>
      <c r="J34" s="87"/>
      <c r="L34" s="32"/>
    </row>
    <row r="35" spans="3:14" ht="13.5" customHeight="1">
      <c r="C35" s="47"/>
      <c r="D35" s="1838" t="s">
        <v>316</v>
      </c>
      <c r="E35" s="1839"/>
      <c r="F35" s="148"/>
      <c r="G35" s="142" t="str">
        <f>IF(AND(H29="NO",H35&lt;&gt;"")," E ",IF(AND(OR(H31="",H32="",H33="",H34="")=TRUE,H35&lt;&gt;"")=TRUE,"E",IF(H35="","",IF(OR(H35=H31,H35=H32,H35=H33,H35=H34,H35=H36)=TRUE,"E ",""))))</f>
        <v/>
      </c>
      <c r="H35" s="181"/>
      <c r="I35" s="125" t="str">
        <f t="shared" si="1"/>
        <v/>
      </c>
      <c r="J35" s="87"/>
      <c r="L35" s="32"/>
    </row>
    <row r="36" spans="3:14" ht="15" customHeight="1">
      <c r="C36" s="47"/>
      <c r="D36" s="1852" t="s">
        <v>377</v>
      </c>
      <c r="E36" s="1839"/>
      <c r="F36" s="148"/>
      <c r="G36" s="142" t="str">
        <f>IF(AND(H29="NO",H36&lt;&gt;"")," E ",IF(AND(OR(H31="",H32="",H33="",H34="",H35="")=TRUE,H36&lt;&gt;"")=TRUE,"E",IF(H36="","",IF(OR(H36=H31,H36=H32,H36=H33,H36=H34,H36=H35)=TRUE,"E ",""))))</f>
        <v/>
      </c>
      <c r="H36" s="181"/>
      <c r="I36" s="125" t="str">
        <f t="shared" si="1"/>
        <v/>
      </c>
      <c r="J36" s="87"/>
    </row>
    <row r="37" spans="3:14" ht="15" customHeight="1">
      <c r="C37" s="48"/>
      <c r="D37" s="1814" t="s">
        <v>401</v>
      </c>
      <c r="E37" s="1815"/>
      <c r="F37" s="152" t="s">
        <v>430</v>
      </c>
      <c r="G37" s="153" t="str">
        <f>IF(AND(H29="NO",H37&lt;&gt;"")," E ",IF(H37&lt;&gt;"",IF(AND(H31&lt;&gt;"その他",H32&lt;&gt;"その他",H33&lt;&gt;"その他",H34&lt;&gt;"その他",H35&lt;&gt;"その他",H36&lt;&gt;"その他")=TRUE,"E",""),IF(OR(H31="その他",H32="その他",H33="その他",H34="その他",H35="その他",H36="その他")=TRUE,"※","")))</f>
        <v/>
      </c>
      <c r="H37" s="113"/>
      <c r="I37" s="67"/>
      <c r="J37" s="91" t="s">
        <v>911</v>
      </c>
      <c r="K37" s="455" t="str">
        <f>IF(G37="E","６．その他を選んで下さい",IF(G37="※","具体的に記述して下さい",""))</f>
        <v/>
      </c>
    </row>
    <row r="38" spans="3:14" ht="24" customHeight="1">
      <c r="C38" s="46">
        <v>8</v>
      </c>
      <c r="D38" s="1825" t="s">
        <v>323</v>
      </c>
      <c r="E38" s="1840"/>
      <c r="F38" s="144"/>
      <c r="G38" s="145" t="str">
        <f>IF(H38="","※",IF(AND(N38&lt;&gt;3,H38&lt;&gt;"YES")=TRUE,"E",""))</f>
        <v>※</v>
      </c>
      <c r="H38" s="178"/>
      <c r="I38" s="103" t="str">
        <f>IF(G38="E","YESを選択してください","")</f>
        <v/>
      </c>
      <c r="J38" s="85"/>
      <c r="M38" s="787" t="s">
        <v>1009</v>
      </c>
      <c r="N38" s="788">
        <f>COUNTBLANK(H39:H41)</f>
        <v>3</v>
      </c>
    </row>
    <row r="39" spans="3:14" ht="15" customHeight="1">
      <c r="C39" s="49"/>
      <c r="D39" s="1827" t="s">
        <v>903</v>
      </c>
      <c r="E39" s="1828"/>
      <c r="F39" s="148" t="s">
        <v>430</v>
      </c>
      <c r="G39" s="142" t="str">
        <f>IF(H38="","",IF(AND(H38="YES",H39=""),"※",""))</f>
        <v/>
      </c>
      <c r="H39" s="901"/>
      <c r="I39" s="45" t="s">
        <v>431</v>
      </c>
      <c r="J39" s="87"/>
    </row>
    <row r="40" spans="3:14" ht="15" customHeight="1">
      <c r="C40" s="49"/>
      <c r="D40" s="1827" t="s">
        <v>402</v>
      </c>
      <c r="E40" s="1828"/>
      <c r="F40" s="148" t="s">
        <v>430</v>
      </c>
      <c r="G40" s="142" t="str">
        <f>IF($H38="","",IF(AND($H38="YES",H40=""),"※",""))</f>
        <v/>
      </c>
      <c r="H40" s="454"/>
      <c r="I40" s="45"/>
      <c r="J40" s="87" t="s">
        <v>911</v>
      </c>
    </row>
    <row r="41" spans="3:14" ht="15" customHeight="1">
      <c r="C41" s="47"/>
      <c r="D41" s="1829" t="s">
        <v>435</v>
      </c>
      <c r="E41" s="1830"/>
      <c r="F41" s="148" t="s">
        <v>430</v>
      </c>
      <c r="G41" s="142" t="str">
        <f>IF($H38="","",IF(AND($H38="YES",H41=""),"※",""))</f>
        <v/>
      </c>
      <c r="H41" s="506"/>
      <c r="I41" s="67" t="s">
        <v>692</v>
      </c>
      <c r="J41" s="453"/>
      <c r="K41" s="519"/>
    </row>
    <row r="42" spans="3:14" ht="24" customHeight="1">
      <c r="C42" s="46">
        <v>9</v>
      </c>
      <c r="D42" s="1825" t="s">
        <v>723</v>
      </c>
      <c r="E42" s="1840"/>
      <c r="F42" s="144"/>
      <c r="G42" s="145" t="str">
        <f>IF(H42="","※",IF(AND(N42&lt;&gt;2,H42&lt;&gt;"YES")=TRUE,"E",""))</f>
        <v>※</v>
      </c>
      <c r="H42" s="178"/>
      <c r="I42" s="105" t="str">
        <f>IF(G42="E","YESを選択してください","")</f>
        <v/>
      </c>
      <c r="J42" s="85"/>
      <c r="M42" s="787" t="s">
        <v>1009</v>
      </c>
      <c r="N42" s="788">
        <f>COUNTBLANK(H43:H44)</f>
        <v>2</v>
      </c>
    </row>
    <row r="43" spans="3:14" ht="15" customHeight="1">
      <c r="C43" s="49"/>
      <c r="D43" s="1827" t="s">
        <v>403</v>
      </c>
      <c r="E43" s="1828"/>
      <c r="F43" s="148" t="s">
        <v>430</v>
      </c>
      <c r="G43" s="142" t="str">
        <f>IF($H42="","",IF(AND($H42="YES",H43=""),"※",""))</f>
        <v/>
      </c>
      <c r="H43" s="454"/>
      <c r="I43" s="45"/>
      <c r="J43" s="87" t="s">
        <v>911</v>
      </c>
    </row>
    <row r="44" spans="3:14" ht="15" customHeight="1">
      <c r="C44" s="47"/>
      <c r="D44" s="1829" t="s">
        <v>691</v>
      </c>
      <c r="E44" s="1830"/>
      <c r="F44" s="148" t="s">
        <v>430</v>
      </c>
      <c r="G44" s="142" t="str">
        <f>IF($H42="","",IF(AND($H42="YES",H44=""),"※",IF(H44&gt;2,"E","")))</f>
        <v/>
      </c>
      <c r="H44" s="506"/>
      <c r="I44" s="67" t="s">
        <v>791</v>
      </c>
      <c r="J44" s="453"/>
      <c r="K44" s="519" t="str">
        <f>IF(G44="E","積算基準の最大値は2％です。2以下を入力してください。","")</f>
        <v/>
      </c>
    </row>
    <row r="45" spans="3:14" s="386" customFormat="1" ht="24" customHeight="1">
      <c r="C45" s="46">
        <v>10</v>
      </c>
      <c r="D45" s="1825" t="s">
        <v>986</v>
      </c>
      <c r="E45" s="1849"/>
      <c r="F45" s="536"/>
      <c r="G45" s="145" t="str">
        <f>IF(H45="","※",IF(AND(N45&lt;&gt;2,H45&lt;&gt;"YES")=TRUE,"E",""))</f>
        <v>※</v>
      </c>
      <c r="H45" s="387"/>
      <c r="I45" s="388" t="str">
        <f>IF(G45="E","YESを選択してください","")</f>
        <v/>
      </c>
      <c r="J45" s="389"/>
      <c r="K45" s="108"/>
      <c r="M45" s="787" t="s">
        <v>1009</v>
      </c>
      <c r="N45" s="788">
        <f>COUNTBLANK(H46:H47)</f>
        <v>2</v>
      </c>
    </row>
    <row r="46" spans="3:14" s="386" customFormat="1" ht="15" customHeight="1">
      <c r="C46" s="47"/>
      <c r="D46" s="1819" t="s">
        <v>987</v>
      </c>
      <c r="E46" s="1820"/>
      <c r="F46" s="148"/>
      <c r="G46" s="142" t="str">
        <f>IF(H45="","",IF(AND(H45="YES",H46=""),"※",""))</f>
        <v/>
      </c>
      <c r="H46" s="1811"/>
      <c r="I46" s="1812"/>
      <c r="J46" s="1813"/>
      <c r="K46" s="455" t="str">
        <f>IF(G47="E","「その他」を選んで下さい","")</f>
        <v/>
      </c>
    </row>
    <row r="47" spans="3:14" s="386" customFormat="1" ht="15" customHeight="1">
      <c r="C47" s="66"/>
      <c r="D47" s="1814" t="s">
        <v>988</v>
      </c>
      <c r="E47" s="1815"/>
      <c r="F47" s="152"/>
      <c r="G47" s="153" t="str">
        <f>IF(H47&lt;&gt;"",IF(AND(H46&lt;&gt;"その他")=TRUE,"E",""),IF(OR(H46="その他")=TRUE,"※",""))</f>
        <v/>
      </c>
      <c r="H47" s="1816"/>
      <c r="I47" s="1817"/>
      <c r="J47" s="1818"/>
      <c r="K47" s="455" t="str">
        <f>IF(G47="※","具体的な時間を入力して下さい","")</f>
        <v/>
      </c>
    </row>
    <row r="48" spans="3:14" ht="29.25" customHeight="1">
      <c r="C48" s="46">
        <v>11</v>
      </c>
      <c r="D48" s="1825" t="s">
        <v>1805</v>
      </c>
      <c r="E48" s="1831"/>
      <c r="F48" s="536"/>
      <c r="G48" s="145" t="str">
        <f>IF(H48="","※",IF(AND(N48&lt;&gt;3,H48&lt;&gt;"1：補正有り")=TRUE,"E",""))</f>
        <v>※</v>
      </c>
      <c r="H48" s="1229" t="str">
        <f>IF(一般事項!F48="","",一般事項!F48)</f>
        <v/>
      </c>
      <c r="I48" s="1832" t="str">
        <f>IF(G48="E","「一般事項」シートにて『1：補正有り』を選択してください","")</f>
        <v/>
      </c>
      <c r="J48" s="1833"/>
      <c r="M48" s="787" t="s">
        <v>1009</v>
      </c>
      <c r="N48" s="788">
        <f>COUNTBLANK(H49:H51)</f>
        <v>3</v>
      </c>
    </row>
    <row r="49" spans="3:14" ht="15" customHeight="1">
      <c r="C49" s="47"/>
      <c r="D49" s="1827" t="s">
        <v>1806</v>
      </c>
      <c r="E49" s="1834"/>
      <c r="F49" s="148" t="s">
        <v>430</v>
      </c>
      <c r="G49" s="142" t="str">
        <f>IF(H48="","",IF(AND(H48="1：補正有り",H49=""),"※",""))</f>
        <v/>
      </c>
      <c r="H49" s="901"/>
      <c r="I49" s="45" t="s">
        <v>431</v>
      </c>
      <c r="J49" s="1230"/>
      <c r="K49" s="455"/>
    </row>
    <row r="50" spans="3:14" ht="15" customHeight="1">
      <c r="C50" s="47"/>
      <c r="D50" s="1827" t="s">
        <v>1807</v>
      </c>
      <c r="E50" s="1834"/>
      <c r="F50" s="148" t="s">
        <v>430</v>
      </c>
      <c r="G50" s="142" t="str">
        <f>IF(H48="","",IF(AND(H48="1：補正有り",H50=""),"※",""))</f>
        <v/>
      </c>
      <c r="H50" s="901"/>
      <c r="I50" s="45" t="s">
        <v>431</v>
      </c>
      <c r="J50" s="1230"/>
      <c r="K50" s="455"/>
    </row>
    <row r="51" spans="3:14" ht="15" customHeight="1">
      <c r="C51" s="1231"/>
      <c r="D51" s="1829" t="s">
        <v>1952</v>
      </c>
      <c r="E51" s="1835"/>
      <c r="F51" s="148" t="s">
        <v>430</v>
      </c>
      <c r="G51" s="142" t="str">
        <f>IF($H48="","",IF(AND($H48="1：補正有り",H51=""),"※",IF(H51&gt;2,"E","")))</f>
        <v/>
      </c>
      <c r="H51" s="506"/>
      <c r="I51" s="1232" t="s">
        <v>437</v>
      </c>
      <c r="J51" s="1233"/>
      <c r="K51" s="455" t="str">
        <f>IF(G51="E","積算基準の最大値は2％です。2以下を入力してください。","")</f>
        <v/>
      </c>
    </row>
    <row r="52" spans="3:14" s="386" customFormat="1" ht="24" customHeight="1">
      <c r="C52" s="46">
        <v>12</v>
      </c>
      <c r="D52" s="1825" t="s">
        <v>745</v>
      </c>
      <c r="E52" s="1826"/>
      <c r="F52" s="536"/>
      <c r="G52" s="145" t="str">
        <f>IF(H52="","※",IF(AND(N52&lt;&gt;2,H52&lt;&gt;"YES")=TRUE,"E",""))</f>
        <v>※</v>
      </c>
      <c r="H52" s="387"/>
      <c r="I52" s="388" t="str">
        <f>IF(G52="E","YESを選択してください","")</f>
        <v/>
      </c>
      <c r="J52" s="511"/>
      <c r="K52" s="108"/>
      <c r="M52" s="787" t="s">
        <v>1009</v>
      </c>
      <c r="N52" s="788">
        <f>COUNTBLANK(H53:H54)</f>
        <v>2</v>
      </c>
    </row>
    <row r="53" spans="3:14" s="386" customFormat="1" ht="15" customHeight="1">
      <c r="C53" s="49"/>
      <c r="D53" s="1827" t="s">
        <v>731</v>
      </c>
      <c r="E53" s="1828"/>
      <c r="F53" s="148" t="s">
        <v>438</v>
      </c>
      <c r="G53" s="142" t="str">
        <f>IF($H52="","",IF(AND($H52="YES",H53=""),"※",""))</f>
        <v/>
      </c>
      <c r="H53" s="454"/>
      <c r="I53" s="45" t="s">
        <v>436</v>
      </c>
      <c r="J53" s="512"/>
      <c r="K53" s="108"/>
    </row>
    <row r="54" spans="3:14" s="386" customFormat="1" ht="15" customHeight="1">
      <c r="C54" s="48"/>
      <c r="D54" s="1829" t="s">
        <v>305</v>
      </c>
      <c r="E54" s="1830"/>
      <c r="F54" s="146" t="s">
        <v>438</v>
      </c>
      <c r="G54" s="147" t="str">
        <f>IF($H52="","",IF(AND($H52="YES",H54=""),"※",IF(H54&gt;2,"E","")))</f>
        <v/>
      </c>
      <c r="H54" s="506"/>
      <c r="I54" s="67" t="s">
        <v>437</v>
      </c>
      <c r="J54" s="513"/>
      <c r="K54" s="519" t="str">
        <f>IF(G54="E","積算基準の最大値は2％です。2以下を入力してください。","")</f>
        <v/>
      </c>
    </row>
    <row r="55" spans="3:14" s="386" customFormat="1" ht="24" hidden="1" customHeight="1">
      <c r="C55" s="1591">
        <v>12</v>
      </c>
      <c r="D55" s="1592" t="s">
        <v>143</v>
      </c>
      <c r="E55" s="1593"/>
      <c r="F55" s="1594"/>
      <c r="G55" s="1595"/>
      <c r="H55" s="1596"/>
      <c r="I55" s="1597" t="str">
        <f>IF(G55="E","YESを選択してください","")</f>
        <v/>
      </c>
      <c r="J55" s="1598"/>
      <c r="K55" s="519"/>
      <c r="M55" s="787" t="s">
        <v>1009</v>
      </c>
      <c r="N55" s="788">
        <f>COUNTBLANK(H56:H57)</f>
        <v>2</v>
      </c>
    </row>
    <row r="56" spans="3:14" s="386" customFormat="1" hidden="1">
      <c r="C56" s="1599"/>
      <c r="D56" s="1823" t="s">
        <v>67</v>
      </c>
      <c r="E56" s="1824"/>
      <c r="F56" s="1600" t="s">
        <v>430</v>
      </c>
      <c r="G56" s="1601"/>
      <c r="H56" s="1602"/>
      <c r="I56" s="1603" t="s">
        <v>68</v>
      </c>
      <c r="J56" s="1604"/>
      <c r="K56" s="519"/>
    </row>
    <row r="57" spans="3:14" s="386" customFormat="1" ht="15" hidden="1" customHeight="1">
      <c r="C57" s="1605"/>
      <c r="D57" s="1821" t="s">
        <v>144</v>
      </c>
      <c r="E57" s="1822"/>
      <c r="F57" s="1606" t="s">
        <v>430</v>
      </c>
      <c r="G57" s="1607"/>
      <c r="H57" s="1608"/>
      <c r="I57" s="1609" t="s">
        <v>68</v>
      </c>
      <c r="J57" s="1610"/>
      <c r="K57" s="519" t="str">
        <f>IF(G57="E","施工箇所数より大きくなっています。","")</f>
        <v/>
      </c>
    </row>
    <row r="58" spans="3:14" s="386" customFormat="1" ht="15" customHeight="1">
      <c r="C58" s="46">
        <v>13</v>
      </c>
      <c r="D58" s="1855" t="s">
        <v>5316</v>
      </c>
      <c r="E58" s="1856"/>
      <c r="F58" s="536"/>
      <c r="G58" s="1611" t="str">
        <f>IF(H58="","※",IF(AND(N58&lt;&gt;8,H58&lt;&gt;"有り")=TRUE,"E",""))</f>
        <v>※</v>
      </c>
      <c r="H58" s="1670" t="str">
        <f>IF(一般事項!F69="","",一般事項!F69)</f>
        <v/>
      </c>
      <c r="I58" s="1857" t="str">
        <f>IF(G58="E","「一般事項」シートにて『有り』を選択してください","")</f>
        <v/>
      </c>
      <c r="J58" s="1858"/>
      <c r="K58" s="519"/>
      <c r="L58" s="28"/>
      <c r="M58" s="787" t="s">
        <v>5317</v>
      </c>
      <c r="N58" s="788">
        <f>COUNTBLANK(H59:H66)</f>
        <v>8</v>
      </c>
    </row>
    <row r="59" spans="3:14" s="386" customFormat="1" ht="15" customHeight="1">
      <c r="C59" s="47"/>
      <c r="D59" s="1827" t="s">
        <v>5320</v>
      </c>
      <c r="E59" s="1828"/>
      <c r="F59" s="148" t="s">
        <v>5318</v>
      </c>
      <c r="G59" s="1227" t="str">
        <f>IF(H58="","",IF(AND(H58="有り",H59=""),"※",""))</f>
        <v/>
      </c>
      <c r="H59" s="1671"/>
      <c r="I59" s="82" t="s">
        <v>5321</v>
      </c>
      <c r="J59" s="1616"/>
      <c r="K59" s="519"/>
      <c r="L59" s="28"/>
      <c r="M59" s="1613"/>
      <c r="N59" s="28"/>
    </row>
    <row r="60" spans="3:14" s="386" customFormat="1" ht="15" customHeight="1">
      <c r="C60" s="47"/>
      <c r="D60" s="1673"/>
      <c r="E60" s="1614"/>
      <c r="F60" s="151" t="s">
        <v>5318</v>
      </c>
      <c r="G60" s="2107" t="str">
        <f>IF(H58="","",IF(AND(H58="有り",H60=""),"※",""))</f>
        <v/>
      </c>
      <c r="H60" s="1615"/>
      <c r="I60" s="82" t="s">
        <v>5322</v>
      </c>
      <c r="J60" s="1616"/>
      <c r="K60" s="519"/>
      <c r="L60" s="28"/>
      <c r="M60" s="1613"/>
      <c r="N60" s="28"/>
    </row>
    <row r="61" spans="3:14" s="386" customFormat="1" ht="15" customHeight="1">
      <c r="C61" s="47"/>
      <c r="D61" s="1673"/>
      <c r="E61" s="1614"/>
      <c r="F61" s="151" t="s">
        <v>5318</v>
      </c>
      <c r="G61" s="2107" t="str">
        <f>IF(H58="","",IF(AND(H58="有り",H61=""),"※",""))</f>
        <v/>
      </c>
      <c r="H61" s="1617"/>
      <c r="I61" s="45" t="s">
        <v>134</v>
      </c>
      <c r="J61" s="1230"/>
      <c r="K61" s="519"/>
      <c r="L61" s="28"/>
      <c r="M61" s="1613"/>
      <c r="N61" s="28"/>
    </row>
    <row r="62" spans="3:14" s="386" customFormat="1" ht="15" customHeight="1">
      <c r="C62" s="47"/>
      <c r="D62" s="1827" t="s">
        <v>5323</v>
      </c>
      <c r="E62" s="1828"/>
      <c r="F62" s="148" t="s">
        <v>5318</v>
      </c>
      <c r="G62" s="1227" t="str">
        <f>IF(H58="","",IF(AND(H58="有り",H62=""),"※",""))</f>
        <v/>
      </c>
      <c r="H62" s="1612"/>
      <c r="I62" s="45" t="s">
        <v>5321</v>
      </c>
      <c r="J62" s="1230"/>
      <c r="K62" s="519"/>
      <c r="L62" s="28"/>
      <c r="M62" s="1613"/>
      <c r="N62" s="28"/>
    </row>
    <row r="63" spans="3:14" s="386" customFormat="1" ht="15" customHeight="1">
      <c r="C63" s="47"/>
      <c r="D63" s="1667"/>
      <c r="E63" s="1666"/>
      <c r="F63" s="148" t="s">
        <v>5318</v>
      </c>
      <c r="G63" s="1227" t="str">
        <f>IF(H58="","",IF(AND(H58="有り",H63=""),"※",""))</f>
        <v/>
      </c>
      <c r="H63" s="1615"/>
      <c r="I63" s="82" t="s">
        <v>5322</v>
      </c>
      <c r="J63" s="1230"/>
      <c r="K63" s="519"/>
      <c r="L63" s="28"/>
      <c r="M63" s="1613"/>
      <c r="N63" s="28"/>
    </row>
    <row r="64" spans="3:14" s="386" customFormat="1" ht="15" customHeight="1">
      <c r="C64" s="47"/>
      <c r="D64" s="1667"/>
      <c r="E64" s="1666"/>
      <c r="F64" s="148" t="s">
        <v>5318</v>
      </c>
      <c r="G64" s="1227" t="str">
        <f>IF(H58="","",IF(AND(H58="有り",H64=""),"※",""))</f>
        <v/>
      </c>
      <c r="H64" s="1615"/>
      <c r="I64" s="82" t="s">
        <v>134</v>
      </c>
      <c r="J64" s="1230"/>
      <c r="K64" s="519"/>
      <c r="L64" s="28"/>
      <c r="M64" s="1613"/>
      <c r="N64" s="28"/>
    </row>
    <row r="65" spans="3:14" s="386" customFormat="1" ht="15" customHeight="1">
      <c r="C65" s="47"/>
      <c r="D65" s="1827" t="s">
        <v>5324</v>
      </c>
      <c r="E65" s="1834"/>
      <c r="F65" s="148" t="s">
        <v>5318</v>
      </c>
      <c r="G65" s="1227" t="str">
        <f>IF(H58="","",IF(AND(H58="有り",H65=""),"※",""))</f>
        <v/>
      </c>
      <c r="H65" s="570"/>
      <c r="I65" s="45" t="s">
        <v>5319</v>
      </c>
      <c r="J65" s="1230"/>
      <c r="K65" s="519"/>
      <c r="L65" s="28"/>
      <c r="M65" s="1613"/>
      <c r="N65" s="28"/>
    </row>
    <row r="66" spans="3:14" s="386" customFormat="1" ht="15" customHeight="1">
      <c r="C66" s="47"/>
      <c r="D66" s="1827" t="s">
        <v>5325</v>
      </c>
      <c r="E66" s="1828"/>
      <c r="F66" s="148" t="s">
        <v>5318</v>
      </c>
      <c r="G66" s="1227" t="str">
        <f>IF($H58="","",IF(AND($H58="有り",H66=""),"※",IF(H66&gt;2,"E","")))</f>
        <v/>
      </c>
      <c r="H66" s="570"/>
      <c r="I66" s="45" t="s">
        <v>911</v>
      </c>
      <c r="J66" s="1230"/>
      <c r="K66" s="519"/>
      <c r="L66" s="28"/>
      <c r="M66" s="1613"/>
      <c r="N66" s="28"/>
    </row>
    <row r="67" spans="3:14" s="386" customFormat="1" ht="15" customHeight="1">
      <c r="C67" s="47"/>
      <c r="D67" s="1859" t="s">
        <v>5326</v>
      </c>
      <c r="E67" s="1860"/>
      <c r="F67" s="151" t="s">
        <v>5318</v>
      </c>
      <c r="G67" s="2107"/>
      <c r="H67" s="1672"/>
      <c r="I67" s="82" t="s">
        <v>5321</v>
      </c>
      <c r="J67" s="1616"/>
      <c r="K67" s="519"/>
      <c r="L67" s="28"/>
      <c r="M67" s="1613"/>
      <c r="N67" s="28"/>
    </row>
    <row r="68" spans="3:14" s="386" customFormat="1" ht="15" customHeight="1">
      <c r="C68" s="47"/>
      <c r="D68" s="1673"/>
      <c r="E68" s="1614"/>
      <c r="F68" s="151" t="s">
        <v>5318</v>
      </c>
      <c r="G68" s="2107"/>
      <c r="H68" s="1615"/>
      <c r="I68" s="82" t="s">
        <v>5322</v>
      </c>
      <c r="J68" s="1616"/>
      <c r="K68" s="519"/>
      <c r="L68" s="28"/>
      <c r="M68" s="1613"/>
      <c r="N68" s="28"/>
    </row>
    <row r="69" spans="3:14" s="386" customFormat="1" ht="15" customHeight="1">
      <c r="C69" s="47"/>
      <c r="D69" s="1673"/>
      <c r="E69" s="1614"/>
      <c r="F69" s="151" t="s">
        <v>5318</v>
      </c>
      <c r="G69" s="2107"/>
      <c r="H69" s="1617"/>
      <c r="I69" s="45" t="s">
        <v>134</v>
      </c>
      <c r="J69" s="1230"/>
      <c r="K69" s="519"/>
      <c r="L69" s="28"/>
      <c r="M69" s="1613"/>
      <c r="N69" s="28"/>
    </row>
    <row r="70" spans="3:14" s="386" customFormat="1" ht="15" customHeight="1">
      <c r="C70" s="47"/>
      <c r="D70" s="1827" t="s">
        <v>5323</v>
      </c>
      <c r="E70" s="1828"/>
      <c r="F70" s="148" t="s">
        <v>5318</v>
      </c>
      <c r="G70" s="1227"/>
      <c r="H70" s="1612"/>
      <c r="I70" s="45" t="s">
        <v>5321</v>
      </c>
      <c r="J70" s="1230"/>
      <c r="K70" s="519"/>
      <c r="L70" s="28"/>
      <c r="M70" s="1613"/>
      <c r="N70" s="28"/>
    </row>
    <row r="71" spans="3:14" s="386" customFormat="1" ht="15" customHeight="1">
      <c r="C71" s="47"/>
      <c r="D71" s="1667"/>
      <c r="E71" s="1666"/>
      <c r="F71" s="148" t="s">
        <v>5318</v>
      </c>
      <c r="G71" s="1227"/>
      <c r="H71" s="1615"/>
      <c r="I71" s="82" t="s">
        <v>5322</v>
      </c>
      <c r="J71" s="1230"/>
      <c r="K71" s="519"/>
      <c r="L71" s="28"/>
      <c r="M71" s="1613"/>
      <c r="N71" s="28"/>
    </row>
    <row r="72" spans="3:14" s="386" customFormat="1" ht="15" customHeight="1">
      <c r="C72" s="47"/>
      <c r="D72" s="1667"/>
      <c r="E72" s="1666"/>
      <c r="F72" s="148" t="s">
        <v>5318</v>
      </c>
      <c r="G72" s="1227"/>
      <c r="H72" s="1615"/>
      <c r="I72" s="82" t="s">
        <v>134</v>
      </c>
      <c r="J72" s="1230"/>
      <c r="K72" s="519"/>
      <c r="L72" s="28"/>
      <c r="M72" s="1613"/>
      <c r="N72" s="28"/>
    </row>
    <row r="73" spans="3:14" s="386" customFormat="1" ht="15" customHeight="1">
      <c r="C73" s="47"/>
      <c r="D73" s="1827" t="s">
        <v>5324</v>
      </c>
      <c r="E73" s="1834"/>
      <c r="F73" s="148" t="s">
        <v>5318</v>
      </c>
      <c r="G73" s="1227"/>
      <c r="H73" s="570"/>
      <c r="I73" s="45" t="s">
        <v>5319</v>
      </c>
      <c r="J73" s="1230"/>
      <c r="K73" s="519"/>
      <c r="L73" s="28"/>
      <c r="M73" s="1613"/>
      <c r="N73" s="28"/>
    </row>
    <row r="74" spans="3:14" s="386" customFormat="1" ht="15" customHeight="1">
      <c r="C74" s="47"/>
      <c r="D74" s="1827" t="s">
        <v>5325</v>
      </c>
      <c r="E74" s="1828"/>
      <c r="F74" s="148" t="s">
        <v>5318</v>
      </c>
      <c r="G74" s="1227" t="str">
        <f>IF(H66&gt;2,"E","")</f>
        <v/>
      </c>
      <c r="H74" s="570"/>
      <c r="I74" s="45" t="s">
        <v>911</v>
      </c>
      <c r="J74" s="1230"/>
      <c r="K74" s="519"/>
      <c r="L74" s="28"/>
      <c r="M74" s="1613"/>
      <c r="N74" s="28"/>
    </row>
    <row r="75" spans="3:14" s="386" customFormat="1" ht="15" customHeight="1">
      <c r="C75" s="47"/>
      <c r="D75" s="1859" t="s">
        <v>5327</v>
      </c>
      <c r="E75" s="1860"/>
      <c r="F75" s="151" t="s">
        <v>5318</v>
      </c>
      <c r="G75" s="2107"/>
      <c r="H75" s="1672"/>
      <c r="I75" s="82" t="s">
        <v>5321</v>
      </c>
      <c r="J75" s="1616"/>
      <c r="K75" s="519"/>
      <c r="L75" s="28"/>
      <c r="M75" s="1613"/>
      <c r="N75" s="28"/>
    </row>
    <row r="76" spans="3:14" s="386" customFormat="1" ht="15" customHeight="1">
      <c r="C76" s="47"/>
      <c r="D76" s="1673"/>
      <c r="E76" s="1614"/>
      <c r="F76" s="151" t="s">
        <v>5318</v>
      </c>
      <c r="G76" s="2107"/>
      <c r="H76" s="1615"/>
      <c r="I76" s="82" t="s">
        <v>5322</v>
      </c>
      <c r="J76" s="1616"/>
      <c r="K76" s="519"/>
      <c r="L76" s="28"/>
      <c r="M76" s="1613"/>
      <c r="N76" s="28"/>
    </row>
    <row r="77" spans="3:14" s="386" customFormat="1" ht="15" customHeight="1">
      <c r="C77" s="47"/>
      <c r="D77" s="1673"/>
      <c r="E77" s="1614"/>
      <c r="F77" s="151" t="s">
        <v>5318</v>
      </c>
      <c r="G77" s="2107"/>
      <c r="H77" s="1617"/>
      <c r="I77" s="45" t="s">
        <v>134</v>
      </c>
      <c r="J77" s="1230"/>
      <c r="K77" s="519"/>
      <c r="L77" s="28"/>
      <c r="M77" s="1613"/>
      <c r="N77" s="28"/>
    </row>
    <row r="78" spans="3:14" s="386" customFormat="1" ht="15" customHeight="1">
      <c r="C78" s="47"/>
      <c r="D78" s="1827" t="s">
        <v>5323</v>
      </c>
      <c r="E78" s="1828"/>
      <c r="F78" s="148" t="s">
        <v>5318</v>
      </c>
      <c r="G78" s="1227"/>
      <c r="H78" s="1612"/>
      <c r="I78" s="45" t="s">
        <v>5321</v>
      </c>
      <c r="J78" s="1230"/>
      <c r="K78" s="519"/>
      <c r="L78" s="28"/>
      <c r="M78" s="1613"/>
      <c r="N78" s="28"/>
    </row>
    <row r="79" spans="3:14" s="386" customFormat="1" ht="15" customHeight="1">
      <c r="C79" s="47"/>
      <c r="D79" s="1667"/>
      <c r="E79" s="1666"/>
      <c r="F79" s="148" t="s">
        <v>5318</v>
      </c>
      <c r="G79" s="1227"/>
      <c r="H79" s="1615"/>
      <c r="I79" s="82" t="s">
        <v>5322</v>
      </c>
      <c r="J79" s="1230"/>
      <c r="K79" s="519"/>
      <c r="L79" s="28"/>
      <c r="M79" s="1613"/>
      <c r="N79" s="28"/>
    </row>
    <row r="80" spans="3:14" s="386" customFormat="1" ht="15" customHeight="1">
      <c r="C80" s="47"/>
      <c r="D80" s="1667"/>
      <c r="E80" s="1666"/>
      <c r="F80" s="148" t="s">
        <v>5318</v>
      </c>
      <c r="G80" s="1227"/>
      <c r="H80" s="1615"/>
      <c r="I80" s="82" t="s">
        <v>134</v>
      </c>
      <c r="J80" s="1230"/>
      <c r="K80" s="519"/>
      <c r="L80" s="28"/>
      <c r="M80" s="1613"/>
      <c r="N80" s="28"/>
    </row>
    <row r="81" spans="3:14" s="386" customFormat="1" ht="15" customHeight="1">
      <c r="C81" s="47"/>
      <c r="D81" s="1827" t="s">
        <v>5324</v>
      </c>
      <c r="E81" s="1834"/>
      <c r="F81" s="148" t="s">
        <v>5318</v>
      </c>
      <c r="G81" s="1227"/>
      <c r="H81" s="570"/>
      <c r="I81" s="45" t="s">
        <v>5319</v>
      </c>
      <c r="J81" s="1230"/>
      <c r="K81" s="519"/>
      <c r="L81" s="28"/>
      <c r="M81" s="1613"/>
      <c r="N81" s="28"/>
    </row>
    <row r="82" spans="3:14" s="386" customFormat="1" ht="15" customHeight="1">
      <c r="C82" s="66"/>
      <c r="D82" s="1836" t="s">
        <v>5325</v>
      </c>
      <c r="E82" s="1837"/>
      <c r="F82" s="146" t="s">
        <v>5318</v>
      </c>
      <c r="G82" s="2108" t="str">
        <f>IF(H74&gt;2,"E","")</f>
        <v/>
      </c>
      <c r="H82" s="570"/>
      <c r="I82" s="43" t="s">
        <v>911</v>
      </c>
      <c r="J82" s="920"/>
      <c r="K82" s="519"/>
      <c r="L82" s="28"/>
      <c r="M82" s="1613"/>
      <c r="N82" s="28"/>
    </row>
    <row r="83" spans="3:14" s="386" customFormat="1" ht="13.5" customHeight="1">
      <c r="D83" s="32"/>
      <c r="E83" s="32"/>
      <c r="F83" s="32"/>
      <c r="G83" s="80"/>
      <c r="I83" s="32"/>
      <c r="J83" s="390"/>
      <c r="K83" s="108"/>
    </row>
    <row r="84" spans="3:14" ht="13.5" customHeight="1"/>
    <row r="85" spans="3:14" ht="13.5" customHeight="1">
      <c r="C85" s="437" t="s">
        <v>579</v>
      </c>
      <c r="D85" s="438"/>
      <c r="E85" s="404"/>
      <c r="F85" s="404"/>
      <c r="G85" s="404"/>
      <c r="H85" s="404"/>
      <c r="I85" s="404"/>
      <c r="J85" s="439"/>
      <c r="K85" s="4"/>
      <c r="L85" s="42"/>
    </row>
    <row r="86" spans="3:14" ht="13.5" customHeight="1">
      <c r="C86" s="440" t="s">
        <v>1069</v>
      </c>
      <c r="D86" s="169"/>
      <c r="E86" s="169"/>
      <c r="F86" s="169"/>
      <c r="G86" s="441"/>
      <c r="H86" s="169"/>
      <c r="I86" s="442"/>
      <c r="J86" s="443"/>
      <c r="L86" s="115"/>
    </row>
    <row r="87" spans="3:14" ht="13.5" customHeight="1">
      <c r="C87" s="440" t="s">
        <v>581</v>
      </c>
      <c r="D87" s="411"/>
      <c r="E87" s="411"/>
      <c r="F87" s="411"/>
      <c r="G87" s="130"/>
      <c r="H87" s="166"/>
      <c r="I87" s="444"/>
      <c r="J87" s="445"/>
      <c r="L87" s="42"/>
    </row>
    <row r="88" spans="3:14" ht="13.5" customHeight="1">
      <c r="C88" s="440" t="s">
        <v>582</v>
      </c>
      <c r="D88" s="166"/>
      <c r="E88" s="417"/>
      <c r="F88" s="166"/>
      <c r="G88" s="130"/>
      <c r="H88" s="166"/>
      <c r="I88" s="444"/>
      <c r="J88" s="445"/>
      <c r="L88" s="42"/>
    </row>
    <row r="89" spans="3:14" ht="13.5" customHeight="1">
      <c r="C89" s="446" t="s">
        <v>583</v>
      </c>
      <c r="D89" s="447"/>
      <c r="E89" s="447"/>
      <c r="F89" s="447"/>
      <c r="G89" s="448"/>
      <c r="H89" s="447"/>
      <c r="I89" s="447"/>
      <c r="J89" s="449"/>
    </row>
    <row r="90" spans="3:14" ht="13.5" customHeight="1"/>
    <row r="91" spans="3:14" ht="13.5" customHeight="1"/>
    <row r="92" spans="3:14" ht="13.5" customHeight="1"/>
    <row r="93" spans="3:14" ht="13.5" customHeight="1"/>
    <row r="94" spans="3:14" ht="13.5" customHeight="1"/>
    <row r="95" spans="3:14" ht="13.5" customHeight="1"/>
    <row r="96" spans="3:14" ht="13.5" customHeight="1"/>
    <row r="97" spans="4:7" ht="13.5" customHeight="1"/>
    <row r="98" spans="4:7" ht="13.5" customHeight="1"/>
    <row r="99" spans="4:7" ht="13.5" customHeight="1"/>
    <row r="100" spans="4:7" ht="13.5" customHeight="1"/>
    <row r="101" spans="4:7" ht="13.5" customHeight="1">
      <c r="D101" s="28"/>
      <c r="E101" s="28"/>
      <c r="F101" s="28"/>
      <c r="G101" s="28"/>
    </row>
    <row r="102" spans="4:7" ht="13.5" customHeight="1"/>
    <row r="103" spans="4:7" ht="13.5" customHeight="1">
      <c r="D103" s="42"/>
    </row>
    <row r="104" spans="4:7" ht="13.5" customHeight="1"/>
    <row r="105" spans="4:7" ht="13.5" customHeight="1"/>
    <row r="106" spans="4:7" ht="13.5" customHeight="1">
      <c r="D106" s="171"/>
    </row>
    <row r="107" spans="4:7" ht="13.5" customHeight="1"/>
    <row r="108" spans="4:7" ht="13.5" customHeight="1"/>
    <row r="109" spans="4:7" ht="13.5" customHeight="1"/>
    <row r="110" spans="4:7" ht="13.5" customHeight="1"/>
    <row r="111" spans="4:7" ht="13.5" customHeight="1"/>
    <row r="112" spans="4:7"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spans="3:5" ht="13.5" customHeight="1"/>
    <row r="178" spans="3:5" ht="13.5" customHeight="1"/>
    <row r="179" spans="3:5" ht="13.5" customHeight="1"/>
    <row r="180" spans="3:5" ht="13.5" customHeight="1">
      <c r="C180" s="29"/>
    </row>
    <row r="181" spans="3:5" ht="13.5" customHeight="1">
      <c r="C181" s="29"/>
    </row>
    <row r="182" spans="3:5" ht="13.5" customHeight="1"/>
    <row r="183" spans="3:5" ht="13.5" customHeight="1"/>
    <row r="184" spans="3:5" ht="13.5" customHeight="1"/>
    <row r="185" spans="3:5" ht="13.5" customHeight="1"/>
    <row r="186" spans="3:5" ht="13.5" customHeight="1"/>
    <row r="187" spans="3:5" ht="13.5" customHeight="1"/>
    <row r="188" spans="3:5" ht="13.5" customHeight="1">
      <c r="D188" s="34"/>
      <c r="E188" s="34"/>
    </row>
    <row r="189" spans="3:5" ht="13.5" customHeight="1">
      <c r="D189" s="34"/>
      <c r="E189" s="34"/>
    </row>
    <row r="190" spans="3:5" ht="13.5" customHeight="1"/>
    <row r="191" spans="3:5" ht="13.5" customHeight="1"/>
    <row r="192" spans="3:5"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sheetData>
  <sheetProtection algorithmName="SHA-512" hashValue="QXK7pklQc7b4Lhj6vuNn+lwhdt5igdj1v5RboEVw3/c1N68uLw+ntZkdLIncuo+1Dbh4IojvqOlfl6C2wVtIFw==" saltValue="UvtUcBc3BDXz0gTEJnAgCw==" spinCount="100000" sheet="1" objects="1" scenarios="1"/>
  <mergeCells count="65">
    <mergeCell ref="D75:E75"/>
    <mergeCell ref="D78:E78"/>
    <mergeCell ref="D81:E81"/>
    <mergeCell ref="D82:E82"/>
    <mergeCell ref="D66:E66"/>
    <mergeCell ref="D67:E67"/>
    <mergeCell ref="D70:E70"/>
    <mergeCell ref="D73:E73"/>
    <mergeCell ref="D74:E74"/>
    <mergeCell ref="D58:E58"/>
    <mergeCell ref="I58:J58"/>
    <mergeCell ref="D59:E59"/>
    <mergeCell ref="D62:E62"/>
    <mergeCell ref="D65:E65"/>
    <mergeCell ref="D9:E9"/>
    <mergeCell ref="D27:E27"/>
    <mergeCell ref="C3:D3"/>
    <mergeCell ref="E3:J3"/>
    <mergeCell ref="D42:E42"/>
    <mergeCell ref="D39:E39"/>
    <mergeCell ref="D40:E40"/>
    <mergeCell ref="D38:E38"/>
    <mergeCell ref="D30:E30"/>
    <mergeCell ref="D36:E36"/>
    <mergeCell ref="D35:E35"/>
    <mergeCell ref="D41:E41"/>
    <mergeCell ref="D37:E37"/>
    <mergeCell ref="D34:E34"/>
    <mergeCell ref="D11:E11"/>
    <mergeCell ref="D8:E8"/>
    <mergeCell ref="D45:E45"/>
    <mergeCell ref="D43:E43"/>
    <mergeCell ref="D44:E44"/>
    <mergeCell ref="D28:E28"/>
    <mergeCell ref="D29:E29"/>
    <mergeCell ref="D33:E33"/>
    <mergeCell ref="D31:E31"/>
    <mergeCell ref="D32:E32"/>
    <mergeCell ref="D24:E24"/>
    <mergeCell ref="D10:E10"/>
    <mergeCell ref="D13:E13"/>
    <mergeCell ref="D23:E23"/>
    <mergeCell ref="D26:E26"/>
    <mergeCell ref="D12:E12"/>
    <mergeCell ref="D22:E22"/>
    <mergeCell ref="D25:E25"/>
    <mergeCell ref="D16:E16"/>
    <mergeCell ref="D17:E17"/>
    <mergeCell ref="D18:E18"/>
    <mergeCell ref="D19:E19"/>
    <mergeCell ref="D20:E20"/>
    <mergeCell ref="H46:J46"/>
    <mergeCell ref="D47:E47"/>
    <mergeCell ref="H47:J47"/>
    <mergeCell ref="D46:E46"/>
    <mergeCell ref="D57:E57"/>
    <mergeCell ref="D56:E56"/>
    <mergeCell ref="D52:E52"/>
    <mergeCell ref="D53:E53"/>
    <mergeCell ref="D54:E54"/>
    <mergeCell ref="D48:E48"/>
    <mergeCell ref="I48:J48"/>
    <mergeCell ref="D49:E49"/>
    <mergeCell ref="D50:E50"/>
    <mergeCell ref="D51:E51"/>
  </mergeCells>
  <phoneticPr fontId="5"/>
  <dataValidations xWindow="845" yWindow="607" count="25">
    <dataValidation type="list" allowBlank="1" showInputMessage="1" showErrorMessage="1" promptTitle="Yes/No選択" prompt="してください。Yesの場合、説明回数を入力してください。" sqref="H25" xr:uid="{00000000-0002-0000-0500-000000000000}">
      <formula1>施工環境</formula1>
    </dataValidation>
    <dataValidation type="list" allowBlank="1" showInputMessage="1" showErrorMessage="1" promptTitle="Yes/Noを選択" prompt="してください。Yesの場合、施工期間を入力してください。" sqref="H8" xr:uid="{00000000-0002-0000-0500-000001000000}">
      <formula1>施工環境</formula1>
    </dataValidation>
    <dataValidation type="list" allowBlank="1" showInputMessage="1" showErrorMessage="1" promptTitle="Yes/Noを選択" prompt="してください。_x000a_Yesの場合、理由を入力してください。" sqref="H42 H27" xr:uid="{00000000-0002-0000-0500-000002000000}">
      <formula1>施工環境</formula1>
    </dataValidation>
    <dataValidation type="list" allowBlank="1" showInputMessage="1" showErrorMessage="1" promptTitle="Yes/Noを選択" prompt="してください。_x000a_Yesの場合、入力してください。" sqref="H11" xr:uid="{00000000-0002-0000-0500-000003000000}">
      <formula1>施工環境</formula1>
    </dataValidation>
    <dataValidation type="list" allowBlank="1" showInputMessage="1" showErrorMessage="1" promptTitle="Yes/Noを選択" prompt="してください。" sqref="H22" xr:uid="{00000000-0002-0000-0500-000004000000}">
      <formula1>施工環境</formula1>
    </dataValidation>
    <dataValidation type="list" allowBlank="1" showInputMessage="1" showErrorMessage="1" promptTitle="Yes/Noを選択" prompt="してください。Yesの場合、作業日数を入力してください。" sqref="H23" xr:uid="{00000000-0002-0000-0500-000005000000}">
      <formula1>施工環境</formula1>
    </dataValidation>
    <dataValidation type="list" allowBlank="1" showInputMessage="1" showErrorMessage="1" promptTitle="Yes/Noを選択" prompt="してください。_x000a_Yesの場合、理由を選択してください。_x000a_複数回答可" sqref="H29" xr:uid="{00000000-0002-0000-0500-000006000000}">
      <formula1>施工環境</formula1>
    </dataValidation>
    <dataValidation type="list" allowBlank="1" showInputMessage="1" showErrorMessage="1" promptTitle="Yes/Noを選択" prompt="してください。_x000a_Yesの場合、工期延期日数と理由を入力してください。" sqref="H38" xr:uid="{00000000-0002-0000-0500-000007000000}">
      <formula1>施工環境</formula1>
    </dataValidation>
    <dataValidation type="custom" allowBlank="1" showInputMessage="1" showErrorMessage="1" prompt="「6.その他」を選択した場合、入力してください。_x000a_" sqref="H37" xr:uid="{00000000-0002-0000-0500-000008000000}">
      <formula1>TRIM(H37)&lt;&gt;""</formula1>
    </dataValidation>
    <dataValidation type="whole" operator="greaterThanOrEqual" allowBlank="1" showInputMessage="1" showErrorMessage="1" sqref="H26" xr:uid="{00000000-0002-0000-0500-000009000000}">
      <formula1>1</formula1>
    </dataValidation>
    <dataValidation type="decimal" operator="greaterThanOrEqual" allowBlank="1" showInputMessage="1" showErrorMessage="1" sqref="H30" xr:uid="{00000000-0002-0000-0500-00000A000000}">
      <formula1>30</formula1>
    </dataValidation>
    <dataValidation type="custom" allowBlank="1" showInputMessage="1" showErrorMessage="1" sqref="H43:H44 H40:H41 H54 H28 H10 H12:H13 H51" xr:uid="{00000000-0002-0000-0500-00000B000000}">
      <formula1>TRIM(H10)&lt;&gt;""</formula1>
    </dataValidation>
    <dataValidation type="whole" operator="greaterThanOrEqual" allowBlank="1" showInputMessage="1" showErrorMessage="1" sqref="H39 H9 H14 H49:H50" xr:uid="{00000000-0002-0000-0500-00000C000000}">
      <formula1>0</formula1>
    </dataValidation>
    <dataValidation type="whole" operator="greaterThan" allowBlank="1" showInputMessage="1" showErrorMessage="1" sqref="H24" xr:uid="{00000000-0002-0000-0500-00000D000000}">
      <formula1>0</formula1>
    </dataValidation>
    <dataValidation type="list" allowBlank="1" showInputMessage="1" showErrorMessage="1" promptTitle="Yes/Noを選択" prompt="してください。_x000a_Yesの場合、作業制約時間を入力してください。_x000a_" sqref="H45" xr:uid="{00000000-0002-0000-0500-00000E000000}">
      <formula1>施工環境</formula1>
    </dataValidation>
    <dataValidation type="list" allowBlank="1" showInputMessage="1" showErrorMessage="1" promptTitle="Yes/Noを選択" prompt="してください。_x000a_Yesの場合、砂防堰堤高を入力してください。_x000a_" sqref="H52" xr:uid="{00000000-0002-0000-0500-00000F000000}">
      <formula1>施工環境</formula1>
    </dataValidation>
    <dataValidation type="list" allowBlank="1" showInputMessage="1" showErrorMessage="1" promptTitle="Yes/Noを選択" prompt="してください。_x000a_Yesの場合、施工箇所数を入力してください。_x000a_" sqref="H55" xr:uid="{00000000-0002-0000-0500-000010000000}">
      <formula1>施工環境</formula1>
    </dataValidation>
    <dataValidation type="list" allowBlank="1" showInputMessage="1" showErrorMessage="1" sqref="H46:J46" xr:uid="{00000000-0002-0000-0500-000011000000}">
      <formula1>作業制約時間</formula1>
    </dataValidation>
    <dataValidation type="list" allowBlank="1" showInputMessage="1" showErrorMessage="1" prompt="理由が複数ある時は上に詰めて選択してください。" sqref="H31:H36" xr:uid="{00000000-0002-0000-0500-000012000000}">
      <formula1>契約日から着手指定日まで30日以上あった理由</formula1>
    </dataValidation>
    <dataValidation type="custom" allowBlank="1" showInputMessage="1" showErrorMessage="1" sqref="H63:H65 H60:H61 H57 H68:H69 H79:H81 H76:H77 H71:H73" xr:uid="{00000000-0002-0000-0500-000013000000}">
      <formula1>AND(TRIM(H57)&lt;&gt;"",MOD(H57,1)=0)</formula1>
    </dataValidation>
    <dataValidation type="list" allowBlank="1" showInputMessage="1" showErrorMessage="1" sqref="H16:H21" xr:uid="{00000000-0002-0000-0500-000014000000}">
      <formula1>車線規制方法</formula1>
    </dataValidation>
    <dataValidation type="decimal" operator="greaterThanOrEqual" allowBlank="1" showInputMessage="1" showErrorMessage="1" sqref="H53" xr:uid="{00000000-0002-0000-0500-000015000000}">
      <formula1>20</formula1>
    </dataValidation>
    <dataValidation type="whole" operator="greaterThanOrEqual" allowBlank="1" showInputMessage="1" showErrorMessage="1" sqref="H56" xr:uid="{00000000-0002-0000-0500-000016000000}">
      <formula1>2</formula1>
    </dataValidation>
    <dataValidation allowBlank="1" showErrorMessage="1" prompt="_x000a_" sqref="H48 H58" xr:uid="{98B84A43-6526-48C0-B8D0-BD8D672B86C9}"/>
    <dataValidation type="list" allowBlank="1" showInputMessage="1" showErrorMessage="1" sqref="H59 H62 H67 H70 H75 H78" xr:uid="{994FD787-797D-4F71-B226-2F3D59CCBDAC}">
      <formula1>年</formula1>
    </dataValidation>
  </dataValidations>
  <printOptions gridLinesSet="0"/>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indexed="44"/>
  </sheetPr>
  <dimension ref="A1:W152"/>
  <sheetViews>
    <sheetView showGridLines="0" topLeftCell="A2" zoomScaleNormal="100" zoomScaleSheetLayoutView="100" workbookViewId="0"/>
  </sheetViews>
  <sheetFormatPr defaultRowHeight="12"/>
  <cols>
    <col min="1" max="1" width="2.375" style="42" customWidth="1"/>
    <col min="2" max="2" width="3.125" style="42" customWidth="1"/>
    <col min="3" max="3" width="6" style="42" customWidth="1"/>
    <col min="4" max="4" width="42.25" style="42" customWidth="1"/>
    <col min="5" max="5" width="19.375" style="42" customWidth="1"/>
    <col min="6" max="6" width="10" style="42" bestFit="1" customWidth="1"/>
    <col min="7" max="9" width="8.25" style="42" customWidth="1"/>
    <col min="10" max="10" width="10.625" style="42" customWidth="1"/>
    <col min="11" max="11" width="6.25" style="42" customWidth="1"/>
    <col min="12" max="12" width="10.375" style="42" customWidth="1"/>
    <col min="13" max="16" width="9.75" style="42" customWidth="1"/>
    <col min="17" max="17" width="10.625" style="42" customWidth="1"/>
    <col min="18" max="18" width="10.75" style="42" customWidth="1"/>
    <col min="19" max="21" width="9" style="42" hidden="1" customWidth="1"/>
    <col min="22" max="22" width="8" style="42" hidden="1" customWidth="1"/>
    <col min="23" max="23" width="10.125" style="42" hidden="1" customWidth="1"/>
    <col min="24" max="16384" width="9" style="42"/>
  </cols>
  <sheetData>
    <row r="1" spans="1:23" hidden="1">
      <c r="A1" s="604" t="s">
        <v>534</v>
      </c>
      <c r="B1" s="604">
        <f>COUNTIF(C54:K103,"※")</f>
        <v>0</v>
      </c>
      <c r="C1" s="605" t="s">
        <v>535</v>
      </c>
      <c r="D1" s="604">
        <f>COUNTIF(G10,"E")</f>
        <v>0</v>
      </c>
      <c r="S1" s="485"/>
      <c r="T1" s="485"/>
      <c r="U1" s="485"/>
      <c r="V1" s="777"/>
      <c r="W1" s="777"/>
    </row>
    <row r="2" spans="1:23" ht="27" customHeight="1">
      <c r="A2" s="154"/>
      <c r="B2" s="154"/>
      <c r="C2" s="603"/>
      <c r="D2" s="154"/>
    </row>
    <row r="3" spans="1:23" ht="24" customHeight="1">
      <c r="A3" s="154"/>
      <c r="B3" s="1716" t="s">
        <v>602</v>
      </c>
      <c r="C3" s="1798"/>
      <c r="D3" s="729" t="str">
        <f>IF(工事情報!G4="","",工事情報!G4)</f>
        <v/>
      </c>
      <c r="E3" s="1886"/>
      <c r="F3" s="1725"/>
      <c r="G3" s="1725"/>
      <c r="H3" s="1725"/>
    </row>
    <row r="4" spans="1:23" ht="30" customHeight="1">
      <c r="A4" s="154"/>
      <c r="B4" s="154"/>
      <c r="C4" s="603"/>
      <c r="D4" s="154"/>
    </row>
    <row r="5" spans="1:23" s="240" customFormat="1" ht="17.25">
      <c r="B5" s="210" t="s">
        <v>811</v>
      </c>
    </row>
    <row r="6" spans="1:23" ht="24" customHeight="1">
      <c r="B6" s="1887" t="s">
        <v>737</v>
      </c>
      <c r="C6" s="1888"/>
      <c r="D6" s="1888"/>
      <c r="E6" s="1888"/>
      <c r="F6" s="1888"/>
      <c r="G6" s="1888"/>
      <c r="H6" s="1888"/>
      <c r="I6" s="1888"/>
      <c r="J6" s="1888"/>
      <c r="K6" s="1888"/>
      <c r="L6" s="1888"/>
      <c r="M6" s="1889"/>
    </row>
    <row r="7" spans="1:23" s="210" customFormat="1" ht="24" customHeight="1">
      <c r="B7" s="1890"/>
      <c r="C7" s="1891"/>
      <c r="D7" s="1891"/>
      <c r="E7" s="1891"/>
      <c r="F7" s="1891"/>
      <c r="G7" s="1891"/>
      <c r="H7" s="1891"/>
      <c r="I7" s="1891"/>
      <c r="J7" s="1891"/>
      <c r="K7" s="1891"/>
      <c r="L7" s="1891"/>
      <c r="M7" s="1892"/>
    </row>
    <row r="8" spans="1:23" s="210" customFormat="1" ht="24" customHeight="1">
      <c r="B8" s="1893"/>
      <c r="C8" s="1894"/>
      <c r="D8" s="1894"/>
      <c r="E8" s="1894"/>
      <c r="F8" s="1894"/>
      <c r="G8" s="1894"/>
      <c r="H8" s="1894"/>
      <c r="I8" s="1894"/>
      <c r="J8" s="1894"/>
      <c r="K8" s="1894"/>
      <c r="L8" s="1894"/>
      <c r="M8" s="1895"/>
    </row>
    <row r="9" spans="1:23" ht="24" customHeight="1">
      <c r="C9" s="210"/>
      <c r="D9" s="210"/>
      <c r="E9" s="210"/>
    </row>
    <row r="10" spans="1:23" ht="30" customHeight="1">
      <c r="B10" s="210" t="s">
        <v>103</v>
      </c>
      <c r="C10" s="241"/>
      <c r="D10" s="210"/>
      <c r="E10" s="251" t="s">
        <v>663</v>
      </c>
      <c r="F10" s="50"/>
      <c r="G10" s="252" t="str">
        <f>IF(AND(G11&lt;G12,G13="")=TRUE,"E","")</f>
        <v/>
      </c>
      <c r="H10" s="1864" t="str">
        <f>IF(AND(G11&lt;G12,G13="")=TRUE,"当該二次製品材料費の合計が、『工事費』シートの『材料費』より大きくなっています。間違いがないか確認し、間違いについては修正してください。間違いがない場合、理由解答欄に当該二次製品の合計が、『工事費』シートの『材料費』より大きくなっている理由を入力してください。","")</f>
        <v/>
      </c>
      <c r="I10" s="1865"/>
      <c r="J10" s="1865"/>
      <c r="K10" s="1865"/>
      <c r="L10" s="1865"/>
      <c r="M10" s="1866"/>
      <c r="N10" s="612"/>
      <c r="O10"/>
      <c r="P10"/>
    </row>
    <row r="11" spans="1:23" ht="30" customHeight="1">
      <c r="B11" s="210" t="s">
        <v>104</v>
      </c>
      <c r="C11" s="210"/>
      <c r="D11" s="210"/>
      <c r="E11" s="903" t="s">
        <v>664</v>
      </c>
      <c r="F11" s="25"/>
      <c r="G11" s="855">
        <f>工事費!J10</f>
        <v>0</v>
      </c>
      <c r="H11" s="1867"/>
      <c r="I11" s="1868"/>
      <c r="J11" s="1868"/>
      <c r="K11" s="1868"/>
      <c r="L11" s="1868"/>
      <c r="M11" s="1869"/>
      <c r="N11" s="612"/>
      <c r="O11"/>
      <c r="P11"/>
    </row>
    <row r="12" spans="1:23" ht="38.25" customHeight="1">
      <c r="B12" s="1863" t="s">
        <v>1050</v>
      </c>
      <c r="C12" s="1863"/>
      <c r="D12" s="1863"/>
      <c r="E12" s="904" t="s">
        <v>101</v>
      </c>
      <c r="F12" s="57"/>
      <c r="G12" s="614">
        <f>J104</f>
        <v>0</v>
      </c>
      <c r="H12" s="1870"/>
      <c r="I12" s="1871"/>
      <c r="J12" s="1871"/>
      <c r="K12" s="1871"/>
      <c r="L12" s="1871"/>
      <c r="M12" s="1872"/>
      <c r="N12" s="612"/>
      <c r="O12"/>
      <c r="P12"/>
    </row>
    <row r="13" spans="1:23">
      <c r="E13" s="1873" t="s">
        <v>1008</v>
      </c>
      <c r="F13" s="1875" t="str">
        <f>IF(G11&lt;G12,IF(G13="","※",""),"")</f>
        <v/>
      </c>
      <c r="G13" s="1877"/>
      <c r="H13" s="1878"/>
      <c r="I13" s="1878"/>
      <c r="J13" s="1878"/>
      <c r="K13" s="1878"/>
      <c r="L13" s="1878"/>
      <c r="M13" s="1879"/>
      <c r="N13" s="602"/>
      <c r="O13" s="602"/>
      <c r="P13" s="602"/>
    </row>
    <row r="14" spans="1:23" ht="12" customHeight="1">
      <c r="C14" s="116"/>
      <c r="E14" s="1874"/>
      <c r="F14" s="1876"/>
      <c r="G14" s="1880"/>
      <c r="H14" s="1721"/>
      <c r="I14" s="1721"/>
      <c r="J14" s="1721"/>
      <c r="K14" s="1721"/>
      <c r="L14" s="1721"/>
      <c r="M14" s="1881"/>
    </row>
    <row r="15" spans="1:23" ht="13.5">
      <c r="C15" s="116"/>
      <c r="E15" s="210"/>
    </row>
    <row r="16" spans="1:23" ht="13.5" hidden="1">
      <c r="C16" s="116"/>
      <c r="E16" s="210"/>
    </row>
    <row r="17" spans="1:23" ht="13.5" hidden="1">
      <c r="C17" s="116"/>
      <c r="E17" s="601"/>
      <c r="F17" s="601"/>
      <c r="G17" s="601"/>
      <c r="H17" s="601"/>
    </row>
    <row r="18" spans="1:23" ht="11.25" hidden="1" customHeight="1">
      <c r="C18" s="116"/>
    </row>
    <row r="19" spans="1:23" hidden="1">
      <c r="C19" s="116"/>
    </row>
    <row r="20" spans="1:23" ht="13.5" hidden="1">
      <c r="C20" s="116"/>
      <c r="H20" s="210"/>
      <c r="I20" s="210"/>
    </row>
    <row r="21" spans="1:23" ht="14.25" hidden="1">
      <c r="B21" s="237"/>
      <c r="C21" s="116"/>
      <c r="H21" s="210"/>
      <c r="I21" s="210"/>
    </row>
    <row r="22" spans="1:23" ht="14.25" hidden="1">
      <c r="B22" s="237"/>
      <c r="C22" s="822"/>
      <c r="D22" s="239"/>
      <c r="G22" s="237"/>
      <c r="H22" s="210"/>
      <c r="I22" s="210"/>
    </row>
    <row r="23" spans="1:23" ht="14.25" hidden="1">
      <c r="B23" s="237"/>
      <c r="C23" s="822"/>
      <c r="D23" s="239"/>
      <c r="E23" s="239"/>
    </row>
    <row r="24" spans="1:23" ht="14.25" hidden="1" customHeight="1">
      <c r="B24" s="237"/>
      <c r="C24" s="822"/>
      <c r="D24" s="239"/>
      <c r="E24" s="239"/>
      <c r="F24" s="237"/>
      <c r="G24" s="237"/>
      <c r="H24" s="237"/>
      <c r="I24" s="237"/>
      <c r="W24" s="210"/>
    </row>
    <row r="25" spans="1:23" s="237" customFormat="1" ht="14.25" hidden="1" customHeight="1">
      <c r="A25" s="243"/>
      <c r="C25" s="116"/>
      <c r="D25" s="239"/>
      <c r="E25" s="239"/>
      <c r="P25" s="238"/>
      <c r="W25" s="210"/>
    </row>
    <row r="26" spans="1:23" s="237" customFormat="1" ht="14.25" hidden="1" customHeight="1">
      <c r="A26" s="243"/>
      <c r="C26" s="116"/>
      <c r="D26" s="239"/>
      <c r="E26" s="239"/>
      <c r="P26" s="238"/>
      <c r="S26" s="42"/>
      <c r="T26" s="42"/>
      <c r="U26" s="210"/>
      <c r="V26" s="210"/>
      <c r="W26" s="210"/>
    </row>
    <row r="27" spans="1:23" s="237" customFormat="1" ht="14.25" hidden="1" customHeight="1">
      <c r="A27" s="243"/>
      <c r="C27" s="116"/>
      <c r="D27" s="239"/>
      <c r="E27" s="239"/>
      <c r="P27" s="238"/>
      <c r="S27" s="42"/>
      <c r="T27" s="42"/>
      <c r="U27" s="210"/>
      <c r="V27" s="210"/>
      <c r="W27" s="210"/>
    </row>
    <row r="28" spans="1:23" s="237" customFormat="1" ht="14.25" hidden="1" customHeight="1">
      <c r="A28" s="243"/>
      <c r="C28" s="116"/>
      <c r="D28" s="239"/>
      <c r="E28" s="239"/>
      <c r="P28" s="238"/>
      <c r="S28" s="42"/>
      <c r="T28" s="42"/>
      <c r="U28" s="210"/>
      <c r="V28" s="210"/>
      <c r="W28" s="210"/>
    </row>
    <row r="29" spans="1:23" s="237" customFormat="1" ht="14.25" hidden="1" customHeight="1">
      <c r="A29" s="243"/>
      <c r="C29" s="116"/>
      <c r="D29" s="239"/>
      <c r="E29" s="239"/>
      <c r="P29" s="238"/>
      <c r="S29" s="42"/>
      <c r="T29" s="42"/>
      <c r="U29" s="210"/>
      <c r="V29" s="210"/>
      <c r="W29" s="210"/>
    </row>
    <row r="30" spans="1:23" s="237" customFormat="1" ht="14.25" hidden="1" customHeight="1">
      <c r="A30" s="243"/>
      <c r="C30" s="116"/>
      <c r="D30" s="239"/>
      <c r="E30" s="239"/>
      <c r="P30" s="238"/>
      <c r="S30" s="42"/>
      <c r="T30" s="42"/>
      <c r="U30" s="210"/>
      <c r="V30" s="210"/>
      <c r="W30" s="210"/>
    </row>
    <row r="31" spans="1:23" s="237" customFormat="1" ht="14.25" hidden="1" customHeight="1">
      <c r="A31" s="243"/>
      <c r="C31" s="116"/>
      <c r="D31" s="239"/>
      <c r="E31" s="239"/>
      <c r="P31" s="238"/>
      <c r="S31" s="42"/>
      <c r="T31" s="42"/>
      <c r="U31" s="210"/>
      <c r="V31" s="210"/>
      <c r="W31" s="210"/>
    </row>
    <row r="32" spans="1:23" s="237" customFormat="1" ht="14.25" hidden="1" customHeight="1">
      <c r="A32" s="243"/>
      <c r="C32" s="116"/>
      <c r="D32" s="239"/>
      <c r="E32" s="239"/>
      <c r="P32" s="238"/>
      <c r="S32" s="42"/>
      <c r="T32" s="42"/>
      <c r="U32" s="210"/>
      <c r="V32" s="210"/>
      <c r="W32" s="210"/>
    </row>
    <row r="33" spans="1:23" s="237" customFormat="1" ht="14.25" hidden="1" customHeight="1">
      <c r="A33" s="243"/>
      <c r="C33" s="116"/>
      <c r="D33" s="239"/>
      <c r="E33" s="239"/>
      <c r="P33" s="238"/>
      <c r="S33" s="42"/>
      <c r="T33" s="42"/>
      <c r="U33" s="210"/>
      <c r="V33" s="210"/>
      <c r="W33" s="210"/>
    </row>
    <row r="34" spans="1:23" s="237" customFormat="1" ht="14.25" hidden="1" customHeight="1">
      <c r="A34" s="243"/>
      <c r="C34" s="116"/>
      <c r="D34" s="239"/>
      <c r="E34" s="239"/>
      <c r="P34" s="238"/>
      <c r="S34" s="42"/>
      <c r="T34" s="42"/>
      <c r="U34" s="210"/>
      <c r="V34" s="210"/>
      <c r="W34" s="210"/>
    </row>
    <row r="35" spans="1:23" s="237" customFormat="1" ht="14.25" customHeight="1">
      <c r="A35" s="243"/>
      <c r="C35" s="116"/>
      <c r="D35" s="239"/>
      <c r="E35" s="239"/>
      <c r="P35" s="238"/>
      <c r="S35" s="42"/>
      <c r="T35" s="42"/>
      <c r="U35" s="210"/>
      <c r="V35" s="210"/>
      <c r="W35" s="210"/>
    </row>
    <row r="36" spans="1:23" s="237" customFormat="1" ht="14.25" customHeight="1">
      <c r="A36" s="243"/>
      <c r="C36" s="116" t="s">
        <v>290</v>
      </c>
      <c r="D36" s="42" t="s">
        <v>1051</v>
      </c>
      <c r="E36" s="239"/>
      <c r="P36" s="238"/>
      <c r="S36" s="42"/>
      <c r="T36" s="42"/>
      <c r="U36" s="210"/>
      <c r="V36" s="210"/>
      <c r="W36" s="210"/>
    </row>
    <row r="37" spans="1:23" s="237" customFormat="1" ht="14.25" customHeight="1">
      <c r="A37" s="243"/>
      <c r="C37" s="116" t="s">
        <v>291</v>
      </c>
      <c r="D37" s="42" t="s">
        <v>1052</v>
      </c>
      <c r="E37" s="239"/>
      <c r="P37" s="238"/>
      <c r="S37" s="42"/>
      <c r="T37" s="42"/>
      <c r="U37" s="210"/>
      <c r="V37" s="210"/>
      <c r="W37" s="210"/>
    </row>
    <row r="38" spans="1:23" s="237" customFormat="1" ht="14.25" customHeight="1">
      <c r="A38" s="243"/>
      <c r="C38" s="116" t="s">
        <v>292</v>
      </c>
      <c r="D38" s="42" t="s">
        <v>1053</v>
      </c>
      <c r="E38" s="239"/>
      <c r="P38" s="238"/>
      <c r="S38" s="42"/>
      <c r="T38" s="42"/>
      <c r="U38" s="210"/>
      <c r="V38" s="210"/>
      <c r="W38" s="210"/>
    </row>
    <row r="39" spans="1:23" s="237" customFormat="1" ht="14.25" customHeight="1">
      <c r="A39" s="243"/>
      <c r="C39" s="116" t="s">
        <v>293</v>
      </c>
      <c r="D39" s="42" t="s">
        <v>1054</v>
      </c>
      <c r="E39" s="239"/>
      <c r="P39" s="238"/>
      <c r="S39" s="42"/>
      <c r="T39" s="42"/>
      <c r="U39" s="210"/>
      <c r="V39" s="210"/>
      <c r="W39" s="210"/>
    </row>
    <row r="40" spans="1:23" s="237" customFormat="1" ht="14.25" customHeight="1">
      <c r="A40" s="243"/>
      <c r="C40" s="116" t="s">
        <v>130</v>
      </c>
      <c r="D40" s="42" t="s">
        <v>1055</v>
      </c>
      <c r="E40" s="239"/>
      <c r="P40" s="238"/>
      <c r="S40" s="42"/>
      <c r="T40" s="42"/>
    </row>
    <row r="41" spans="1:23" s="237" customFormat="1" ht="14.25" customHeight="1">
      <c r="A41" s="243"/>
      <c r="C41" s="116" t="s">
        <v>132</v>
      </c>
      <c r="D41" s="42" t="s">
        <v>1056</v>
      </c>
      <c r="E41" s="239"/>
      <c r="P41" s="238"/>
      <c r="S41" s="42"/>
      <c r="T41" s="42"/>
    </row>
    <row r="42" spans="1:23" s="237" customFormat="1" ht="14.25" customHeight="1">
      <c r="A42" s="243"/>
      <c r="C42" s="822" t="s">
        <v>1057</v>
      </c>
      <c r="D42" s="239" t="s">
        <v>1058</v>
      </c>
      <c r="E42" s="239"/>
      <c r="P42" s="238"/>
      <c r="S42" s="42"/>
      <c r="T42" s="42"/>
    </row>
    <row r="43" spans="1:23" s="237" customFormat="1" ht="14.25" customHeight="1">
      <c r="A43" s="243"/>
      <c r="C43" s="822" t="s">
        <v>1059</v>
      </c>
      <c r="D43" s="239" t="s">
        <v>1060</v>
      </c>
      <c r="E43" s="239"/>
      <c r="P43" s="238"/>
      <c r="S43" s="42"/>
      <c r="T43" s="42"/>
    </row>
    <row r="44" spans="1:23" s="237" customFormat="1" ht="14.25" customHeight="1">
      <c r="A44" s="243"/>
      <c r="C44" s="822" t="s">
        <v>1061</v>
      </c>
      <c r="D44" s="239" t="s">
        <v>1062</v>
      </c>
      <c r="E44" s="239"/>
      <c r="P44" s="238"/>
      <c r="S44" s="42"/>
      <c r="T44" s="42"/>
    </row>
    <row r="45" spans="1:23" s="237" customFormat="1" ht="14.25" customHeight="1">
      <c r="A45" s="243"/>
      <c r="D45" s="239"/>
      <c r="E45" s="239"/>
      <c r="P45" s="238"/>
      <c r="S45" s="42"/>
      <c r="T45" s="42"/>
    </row>
    <row r="46" spans="1:23" s="237" customFormat="1" ht="14.25" customHeight="1">
      <c r="A46" s="243"/>
      <c r="B46" s="42" t="s">
        <v>105</v>
      </c>
      <c r="C46" s="42"/>
      <c r="D46" s="239"/>
      <c r="E46" s="239"/>
      <c r="P46" s="238"/>
      <c r="S46" s="42"/>
      <c r="T46" s="42"/>
    </row>
    <row r="47" spans="1:23" s="237" customFormat="1" ht="14.25" customHeight="1">
      <c r="A47" s="243"/>
      <c r="C47" s="116" t="s">
        <v>63</v>
      </c>
      <c r="D47" s="42" t="s">
        <v>1055</v>
      </c>
      <c r="P47" s="238"/>
      <c r="S47" s="42"/>
      <c r="T47" s="42"/>
    </row>
    <row r="48" spans="1:23" s="237" customFormat="1" ht="14.25" customHeight="1">
      <c r="A48" s="243"/>
      <c r="C48" s="116" t="s">
        <v>1063</v>
      </c>
      <c r="D48" s="42" t="s">
        <v>33</v>
      </c>
      <c r="P48" s="238"/>
      <c r="S48" s="42"/>
      <c r="T48" s="42"/>
    </row>
    <row r="49" spans="1:23" s="237" customFormat="1" ht="14.25" customHeight="1">
      <c r="A49" s="243"/>
      <c r="C49" s="242" t="s">
        <v>1180</v>
      </c>
      <c r="P49" s="238"/>
      <c r="S49" s="42"/>
      <c r="T49" s="42"/>
    </row>
    <row r="50" spans="1:23" s="237" customFormat="1" ht="14.25" customHeight="1">
      <c r="A50" s="243"/>
      <c r="C50" s="242" t="s">
        <v>660</v>
      </c>
      <c r="P50" s="238"/>
      <c r="S50" s="42"/>
      <c r="T50" s="42"/>
    </row>
    <row r="51" spans="1:23" s="237" customFormat="1" ht="14.25" customHeight="1">
      <c r="A51" s="243"/>
      <c r="C51" s="116"/>
      <c r="D51" s="239"/>
      <c r="P51" s="238"/>
      <c r="S51" s="42"/>
      <c r="T51" s="42"/>
    </row>
    <row r="52" spans="1:23" ht="26.25" customHeight="1">
      <c r="C52" s="1882" t="s">
        <v>879</v>
      </c>
      <c r="D52" s="1798"/>
      <c r="E52" s="1798"/>
      <c r="F52" s="1798"/>
      <c r="G52" s="1798"/>
      <c r="H52" s="1798"/>
      <c r="I52" s="1798"/>
      <c r="J52" s="1799"/>
      <c r="K52" s="1882" t="s">
        <v>306</v>
      </c>
      <c r="L52" s="1798"/>
      <c r="M52" s="1798"/>
      <c r="N52" s="1798"/>
      <c r="O52" s="1798"/>
      <c r="P52" s="1798"/>
      <c r="Q52" s="1798"/>
      <c r="R52" s="1799"/>
      <c r="S52" s="1883" t="s">
        <v>549</v>
      </c>
      <c r="T52" s="1884" t="s">
        <v>1010</v>
      </c>
      <c r="U52" s="1883" t="s">
        <v>550</v>
      </c>
      <c r="V52" s="1883" t="s">
        <v>999</v>
      </c>
      <c r="W52" s="1861" t="s">
        <v>1000</v>
      </c>
    </row>
    <row r="53" spans="1:23" ht="36.75" customHeight="1">
      <c r="C53" s="656" t="s">
        <v>533</v>
      </c>
      <c r="D53" s="613" t="s">
        <v>358</v>
      </c>
      <c r="E53" s="611" t="s">
        <v>538</v>
      </c>
      <c r="F53" s="248" t="s">
        <v>359</v>
      </c>
      <c r="G53" s="606" t="s">
        <v>659</v>
      </c>
      <c r="H53" s="607" t="s">
        <v>360</v>
      </c>
      <c r="I53" s="607" t="s">
        <v>536</v>
      </c>
      <c r="J53" s="249" t="s">
        <v>658</v>
      </c>
      <c r="K53" s="656" t="s">
        <v>533</v>
      </c>
      <c r="L53" s="610" t="s">
        <v>539</v>
      </c>
      <c r="M53" s="607" t="s">
        <v>537</v>
      </c>
      <c r="N53" s="606" t="s">
        <v>359</v>
      </c>
      <c r="O53" s="606" t="s">
        <v>659</v>
      </c>
      <c r="P53" s="607" t="s">
        <v>360</v>
      </c>
      <c r="Q53" s="607" t="s">
        <v>536</v>
      </c>
      <c r="R53" s="249" t="s">
        <v>658</v>
      </c>
      <c r="S53" s="1883"/>
      <c r="T53" s="1885"/>
      <c r="U53" s="1883"/>
      <c r="V53" s="1883"/>
      <c r="W53" s="1862"/>
    </row>
    <row r="54" spans="1:23" ht="36" customHeight="1">
      <c r="B54" s="42">
        <v>1</v>
      </c>
      <c r="C54" s="728" t="str">
        <f>IF(OR($S54=T54,$S54=0),"","※")</f>
        <v/>
      </c>
      <c r="D54" s="783"/>
      <c r="E54" s="254"/>
      <c r="F54" s="254"/>
      <c r="G54" s="608"/>
      <c r="H54" s="609"/>
      <c r="I54" s="731"/>
      <c r="J54" s="255">
        <f t="shared" ref="J54:J85" si="0">ROUND(H54*I54/1000,0)</f>
        <v>0</v>
      </c>
      <c r="K54" s="732" t="str">
        <f>IF(D54="","",IF(OR(V54="×",AND(V54="○",L54="不明")),"以降,入力不要",IF(AND(V54="○",U54&lt;&gt;0),"※","")))</f>
        <v/>
      </c>
      <c r="L54" s="592"/>
      <c r="M54" s="608"/>
      <c r="N54" s="608"/>
      <c r="O54" s="608"/>
      <c r="P54" s="609"/>
      <c r="Q54" s="609"/>
      <c r="R54" s="255">
        <f t="shared" ref="R54:R85" si="1">ROUND(P54*Q54/1000,0)</f>
        <v>0</v>
      </c>
      <c r="S54" s="615">
        <f>COUNTBLANK($E54:$I54)</f>
        <v>5</v>
      </c>
      <c r="T54" s="615">
        <f t="shared" ref="T54:T85" si="2">IF(D54="",5,IF(D54=$D$44,0,1))</f>
        <v>5</v>
      </c>
      <c r="U54" s="615">
        <f>IF(L54="不明",0,COUNTBLANK(L54:Q54)-1)</f>
        <v>5</v>
      </c>
      <c r="V54" s="615" t="str">
        <f t="shared" ref="V54:V85" si="3">IF(OR(D54=$D$40,D54=$D$41),"○","×")</f>
        <v>×</v>
      </c>
      <c r="W54" s="615" t="str">
        <f>IF(OR(U54=0,U54=5),"○","×")</f>
        <v>○</v>
      </c>
    </row>
    <row r="55" spans="1:23" ht="36" customHeight="1">
      <c r="B55" s="42">
        <v>2</v>
      </c>
      <c r="C55" s="728" t="str">
        <f t="shared" ref="C55:C103" si="4">IF(OR($S55=T55,$S55=0),"","※")</f>
        <v/>
      </c>
      <c r="D55" s="783"/>
      <c r="E55" s="254"/>
      <c r="F55" s="254"/>
      <c r="G55" s="608"/>
      <c r="H55" s="609"/>
      <c r="I55" s="609"/>
      <c r="J55" s="255">
        <f t="shared" si="0"/>
        <v>0</v>
      </c>
      <c r="K55" s="732" t="str">
        <f t="shared" ref="K55:K103" si="5">IF(D55="","",IF(OR(V55="×",AND(V55="○",L55="不明")),"以降,入力不要",IF(AND(V55="○",U55&lt;&gt;0),"※","")))</f>
        <v/>
      </c>
      <c r="L55" s="592"/>
      <c r="M55" s="608"/>
      <c r="N55" s="608"/>
      <c r="O55" s="608"/>
      <c r="P55" s="609"/>
      <c r="Q55" s="609"/>
      <c r="R55" s="255">
        <f t="shared" si="1"/>
        <v>0</v>
      </c>
      <c r="S55" s="615">
        <f t="shared" ref="S55:S103" si="6">COUNTBLANK($E55:$I55)</f>
        <v>5</v>
      </c>
      <c r="T55" s="615">
        <f t="shared" si="2"/>
        <v>5</v>
      </c>
      <c r="U55" s="615">
        <f t="shared" ref="U55:U103" si="7">IF(L55="不明",0,COUNTBLANK(L55:Q55)-1)</f>
        <v>5</v>
      </c>
      <c r="V55" s="615" t="str">
        <f t="shared" si="3"/>
        <v>×</v>
      </c>
      <c r="W55" s="615" t="str">
        <f t="shared" ref="W55:W103" si="8">IF(OR(U55=0,U55=5),"○","×")</f>
        <v>○</v>
      </c>
    </row>
    <row r="56" spans="1:23" ht="36" customHeight="1">
      <c r="B56" s="42">
        <v>3</v>
      </c>
      <c r="C56" s="728" t="str">
        <f t="shared" si="4"/>
        <v/>
      </c>
      <c r="D56" s="783"/>
      <c r="E56" s="254"/>
      <c r="F56" s="254"/>
      <c r="G56" s="608"/>
      <c r="H56" s="609"/>
      <c r="I56" s="609"/>
      <c r="J56" s="255">
        <f t="shared" si="0"/>
        <v>0</v>
      </c>
      <c r="K56" s="732" t="str">
        <f t="shared" si="5"/>
        <v/>
      </c>
      <c r="L56" s="592"/>
      <c r="M56" s="608"/>
      <c r="N56" s="608"/>
      <c r="O56" s="608"/>
      <c r="P56" s="609"/>
      <c r="Q56" s="609"/>
      <c r="R56" s="255">
        <f t="shared" si="1"/>
        <v>0</v>
      </c>
      <c r="S56" s="615">
        <f t="shared" si="6"/>
        <v>5</v>
      </c>
      <c r="T56" s="615">
        <f t="shared" si="2"/>
        <v>5</v>
      </c>
      <c r="U56" s="615">
        <f t="shared" si="7"/>
        <v>5</v>
      </c>
      <c r="V56" s="615" t="str">
        <f t="shared" si="3"/>
        <v>×</v>
      </c>
      <c r="W56" s="615" t="str">
        <f t="shared" si="8"/>
        <v>○</v>
      </c>
    </row>
    <row r="57" spans="1:23" ht="36" customHeight="1">
      <c r="B57" s="42">
        <v>4</v>
      </c>
      <c r="C57" s="728" t="str">
        <f t="shared" si="4"/>
        <v/>
      </c>
      <c r="D57" s="783"/>
      <c r="E57" s="254"/>
      <c r="F57" s="254"/>
      <c r="G57" s="608"/>
      <c r="H57" s="609"/>
      <c r="I57" s="609"/>
      <c r="J57" s="255">
        <f t="shared" si="0"/>
        <v>0</v>
      </c>
      <c r="K57" s="732" t="str">
        <f t="shared" si="5"/>
        <v/>
      </c>
      <c r="L57" s="592"/>
      <c r="M57" s="608"/>
      <c r="N57" s="608"/>
      <c r="O57" s="608"/>
      <c r="P57" s="609"/>
      <c r="Q57" s="609"/>
      <c r="R57" s="255">
        <f t="shared" si="1"/>
        <v>0</v>
      </c>
      <c r="S57" s="615">
        <f t="shared" si="6"/>
        <v>5</v>
      </c>
      <c r="T57" s="615">
        <f t="shared" si="2"/>
        <v>5</v>
      </c>
      <c r="U57" s="615">
        <f t="shared" si="7"/>
        <v>5</v>
      </c>
      <c r="V57" s="615" t="str">
        <f t="shared" si="3"/>
        <v>×</v>
      </c>
      <c r="W57" s="615" t="str">
        <f t="shared" si="8"/>
        <v>○</v>
      </c>
    </row>
    <row r="58" spans="1:23" ht="36" customHeight="1">
      <c r="B58" s="42">
        <v>5</v>
      </c>
      <c r="C58" s="728" t="str">
        <f t="shared" si="4"/>
        <v/>
      </c>
      <c r="D58" s="783"/>
      <c r="E58" s="254"/>
      <c r="F58" s="254"/>
      <c r="G58" s="608"/>
      <c r="H58" s="609"/>
      <c r="I58" s="609"/>
      <c r="J58" s="255">
        <f t="shared" si="0"/>
        <v>0</v>
      </c>
      <c r="K58" s="732" t="str">
        <f t="shared" si="5"/>
        <v/>
      </c>
      <c r="L58" s="592"/>
      <c r="M58" s="608"/>
      <c r="N58" s="608"/>
      <c r="O58" s="608"/>
      <c r="P58" s="609"/>
      <c r="Q58" s="609"/>
      <c r="R58" s="255">
        <f t="shared" si="1"/>
        <v>0</v>
      </c>
      <c r="S58" s="615">
        <f t="shared" si="6"/>
        <v>5</v>
      </c>
      <c r="T58" s="615">
        <f t="shared" si="2"/>
        <v>5</v>
      </c>
      <c r="U58" s="615">
        <f t="shared" si="7"/>
        <v>5</v>
      </c>
      <c r="V58" s="615" t="str">
        <f t="shared" si="3"/>
        <v>×</v>
      </c>
      <c r="W58" s="615" t="str">
        <f t="shared" si="8"/>
        <v>○</v>
      </c>
    </row>
    <row r="59" spans="1:23" ht="36" customHeight="1">
      <c r="B59" s="42">
        <v>6</v>
      </c>
      <c r="C59" s="728" t="str">
        <f t="shared" si="4"/>
        <v/>
      </c>
      <c r="D59" s="783"/>
      <c r="E59" s="254"/>
      <c r="F59" s="254"/>
      <c r="G59" s="608"/>
      <c r="H59" s="609"/>
      <c r="I59" s="609"/>
      <c r="J59" s="255">
        <f t="shared" si="0"/>
        <v>0</v>
      </c>
      <c r="K59" s="732" t="str">
        <f t="shared" si="5"/>
        <v/>
      </c>
      <c r="L59" s="592"/>
      <c r="M59" s="608"/>
      <c r="N59" s="608"/>
      <c r="O59" s="608"/>
      <c r="P59" s="609"/>
      <c r="Q59" s="609"/>
      <c r="R59" s="255">
        <f t="shared" si="1"/>
        <v>0</v>
      </c>
      <c r="S59" s="615">
        <f t="shared" si="6"/>
        <v>5</v>
      </c>
      <c r="T59" s="615">
        <f t="shared" si="2"/>
        <v>5</v>
      </c>
      <c r="U59" s="615">
        <f t="shared" si="7"/>
        <v>5</v>
      </c>
      <c r="V59" s="615" t="str">
        <f t="shared" si="3"/>
        <v>×</v>
      </c>
      <c r="W59" s="615" t="str">
        <f t="shared" si="8"/>
        <v>○</v>
      </c>
    </row>
    <row r="60" spans="1:23" ht="36" customHeight="1">
      <c r="B60" s="42">
        <v>7</v>
      </c>
      <c r="C60" s="728" t="str">
        <f t="shared" si="4"/>
        <v/>
      </c>
      <c r="D60" s="783"/>
      <c r="E60" s="254"/>
      <c r="F60" s="254"/>
      <c r="G60" s="608"/>
      <c r="H60" s="609"/>
      <c r="I60" s="609"/>
      <c r="J60" s="255">
        <f t="shared" si="0"/>
        <v>0</v>
      </c>
      <c r="K60" s="732" t="str">
        <f t="shared" si="5"/>
        <v/>
      </c>
      <c r="L60" s="592"/>
      <c r="M60" s="608"/>
      <c r="N60" s="608"/>
      <c r="O60" s="608"/>
      <c r="P60" s="609"/>
      <c r="Q60" s="609"/>
      <c r="R60" s="255">
        <f t="shared" si="1"/>
        <v>0</v>
      </c>
      <c r="S60" s="615">
        <f t="shared" si="6"/>
        <v>5</v>
      </c>
      <c r="T60" s="615">
        <f t="shared" si="2"/>
        <v>5</v>
      </c>
      <c r="U60" s="615">
        <f t="shared" si="7"/>
        <v>5</v>
      </c>
      <c r="V60" s="615" t="str">
        <f t="shared" si="3"/>
        <v>×</v>
      </c>
      <c r="W60" s="615" t="str">
        <f t="shared" si="8"/>
        <v>○</v>
      </c>
    </row>
    <row r="61" spans="1:23" ht="36" customHeight="1">
      <c r="B61" s="42">
        <v>8</v>
      </c>
      <c r="C61" s="728" t="str">
        <f t="shared" si="4"/>
        <v/>
      </c>
      <c r="D61" s="783"/>
      <c r="E61" s="254"/>
      <c r="F61" s="254"/>
      <c r="G61" s="608"/>
      <c r="H61" s="609"/>
      <c r="I61" s="609"/>
      <c r="J61" s="255">
        <f t="shared" si="0"/>
        <v>0</v>
      </c>
      <c r="K61" s="732" t="str">
        <f t="shared" si="5"/>
        <v/>
      </c>
      <c r="L61" s="592"/>
      <c r="M61" s="608"/>
      <c r="N61" s="608"/>
      <c r="O61" s="608"/>
      <c r="P61" s="609"/>
      <c r="Q61" s="609"/>
      <c r="R61" s="255">
        <f t="shared" si="1"/>
        <v>0</v>
      </c>
      <c r="S61" s="615">
        <f t="shared" si="6"/>
        <v>5</v>
      </c>
      <c r="T61" s="615">
        <f t="shared" si="2"/>
        <v>5</v>
      </c>
      <c r="U61" s="615">
        <f t="shared" si="7"/>
        <v>5</v>
      </c>
      <c r="V61" s="615" t="str">
        <f t="shared" si="3"/>
        <v>×</v>
      </c>
      <c r="W61" s="615" t="str">
        <f t="shared" si="8"/>
        <v>○</v>
      </c>
    </row>
    <row r="62" spans="1:23" ht="36" customHeight="1">
      <c r="B62" s="42">
        <v>9</v>
      </c>
      <c r="C62" s="728" t="str">
        <f t="shared" si="4"/>
        <v/>
      </c>
      <c r="D62" s="783"/>
      <c r="E62" s="254"/>
      <c r="F62" s="254"/>
      <c r="G62" s="608"/>
      <c r="H62" s="609"/>
      <c r="I62" s="609"/>
      <c r="J62" s="255">
        <f t="shared" si="0"/>
        <v>0</v>
      </c>
      <c r="K62" s="732" t="str">
        <f t="shared" si="5"/>
        <v/>
      </c>
      <c r="L62" s="592"/>
      <c r="M62" s="608"/>
      <c r="N62" s="608"/>
      <c r="O62" s="608"/>
      <c r="P62" s="609"/>
      <c r="Q62" s="609"/>
      <c r="R62" s="255">
        <f t="shared" si="1"/>
        <v>0</v>
      </c>
      <c r="S62" s="615">
        <f t="shared" si="6"/>
        <v>5</v>
      </c>
      <c r="T62" s="615">
        <f t="shared" si="2"/>
        <v>5</v>
      </c>
      <c r="U62" s="615">
        <f t="shared" si="7"/>
        <v>5</v>
      </c>
      <c r="V62" s="615" t="str">
        <f t="shared" si="3"/>
        <v>×</v>
      </c>
      <c r="W62" s="615" t="str">
        <f t="shared" si="8"/>
        <v>○</v>
      </c>
    </row>
    <row r="63" spans="1:23" ht="36" customHeight="1">
      <c r="B63" s="42">
        <v>10</v>
      </c>
      <c r="C63" s="728" t="str">
        <f t="shared" si="4"/>
        <v/>
      </c>
      <c r="D63" s="783"/>
      <c r="E63" s="254"/>
      <c r="F63" s="254"/>
      <c r="G63" s="608"/>
      <c r="H63" s="609"/>
      <c r="I63" s="609"/>
      <c r="J63" s="255">
        <f t="shared" si="0"/>
        <v>0</v>
      </c>
      <c r="K63" s="732" t="str">
        <f t="shared" si="5"/>
        <v/>
      </c>
      <c r="L63" s="592"/>
      <c r="M63" s="608"/>
      <c r="N63" s="608"/>
      <c r="O63" s="608"/>
      <c r="P63" s="609"/>
      <c r="Q63" s="609"/>
      <c r="R63" s="255">
        <f t="shared" si="1"/>
        <v>0</v>
      </c>
      <c r="S63" s="615">
        <f t="shared" si="6"/>
        <v>5</v>
      </c>
      <c r="T63" s="615">
        <f t="shared" si="2"/>
        <v>5</v>
      </c>
      <c r="U63" s="615">
        <f t="shared" si="7"/>
        <v>5</v>
      </c>
      <c r="V63" s="615" t="str">
        <f t="shared" si="3"/>
        <v>×</v>
      </c>
      <c r="W63" s="615" t="str">
        <f t="shared" si="8"/>
        <v>○</v>
      </c>
    </row>
    <row r="64" spans="1:23" ht="36" customHeight="1">
      <c r="B64" s="42">
        <v>11</v>
      </c>
      <c r="C64" s="728" t="str">
        <f t="shared" si="4"/>
        <v/>
      </c>
      <c r="D64" s="783"/>
      <c r="E64" s="254"/>
      <c r="F64" s="254"/>
      <c r="G64" s="608"/>
      <c r="H64" s="609"/>
      <c r="I64" s="609"/>
      <c r="J64" s="255">
        <f t="shared" si="0"/>
        <v>0</v>
      </c>
      <c r="K64" s="732" t="str">
        <f t="shared" si="5"/>
        <v/>
      </c>
      <c r="L64" s="592"/>
      <c r="M64" s="608"/>
      <c r="N64" s="608"/>
      <c r="O64" s="608"/>
      <c r="P64" s="609"/>
      <c r="Q64" s="609"/>
      <c r="R64" s="255">
        <f t="shared" si="1"/>
        <v>0</v>
      </c>
      <c r="S64" s="615">
        <f t="shared" si="6"/>
        <v>5</v>
      </c>
      <c r="T64" s="615">
        <f t="shared" si="2"/>
        <v>5</v>
      </c>
      <c r="U64" s="615">
        <f t="shared" si="7"/>
        <v>5</v>
      </c>
      <c r="V64" s="615" t="str">
        <f t="shared" si="3"/>
        <v>×</v>
      </c>
      <c r="W64" s="615" t="str">
        <f t="shared" si="8"/>
        <v>○</v>
      </c>
    </row>
    <row r="65" spans="2:23" ht="36" customHeight="1">
      <c r="B65" s="42">
        <v>12</v>
      </c>
      <c r="C65" s="728" t="str">
        <f t="shared" si="4"/>
        <v/>
      </c>
      <c r="D65" s="783"/>
      <c r="E65" s="254"/>
      <c r="F65" s="254"/>
      <c r="G65" s="608"/>
      <c r="H65" s="609"/>
      <c r="I65" s="609"/>
      <c r="J65" s="255">
        <f t="shared" si="0"/>
        <v>0</v>
      </c>
      <c r="K65" s="732" t="str">
        <f t="shared" si="5"/>
        <v/>
      </c>
      <c r="L65" s="592"/>
      <c r="M65" s="608"/>
      <c r="N65" s="608"/>
      <c r="O65" s="608"/>
      <c r="P65" s="609"/>
      <c r="Q65" s="609"/>
      <c r="R65" s="255">
        <f t="shared" si="1"/>
        <v>0</v>
      </c>
      <c r="S65" s="615">
        <f t="shared" si="6"/>
        <v>5</v>
      </c>
      <c r="T65" s="615">
        <f t="shared" si="2"/>
        <v>5</v>
      </c>
      <c r="U65" s="615">
        <f t="shared" si="7"/>
        <v>5</v>
      </c>
      <c r="V65" s="615" t="str">
        <f t="shared" si="3"/>
        <v>×</v>
      </c>
      <c r="W65" s="615" t="str">
        <f t="shared" si="8"/>
        <v>○</v>
      </c>
    </row>
    <row r="66" spans="2:23" ht="36" customHeight="1">
      <c r="B66" s="42">
        <v>13</v>
      </c>
      <c r="C66" s="728" t="str">
        <f t="shared" si="4"/>
        <v/>
      </c>
      <c r="D66" s="783"/>
      <c r="E66" s="254"/>
      <c r="F66" s="254"/>
      <c r="G66" s="608"/>
      <c r="H66" s="609"/>
      <c r="I66" s="609"/>
      <c r="J66" s="255">
        <f t="shared" si="0"/>
        <v>0</v>
      </c>
      <c r="K66" s="732" t="str">
        <f t="shared" si="5"/>
        <v/>
      </c>
      <c r="L66" s="592"/>
      <c r="M66" s="608"/>
      <c r="N66" s="608"/>
      <c r="O66" s="608"/>
      <c r="P66" s="609"/>
      <c r="Q66" s="609"/>
      <c r="R66" s="255">
        <f t="shared" si="1"/>
        <v>0</v>
      </c>
      <c r="S66" s="615">
        <f t="shared" si="6"/>
        <v>5</v>
      </c>
      <c r="T66" s="615">
        <f t="shared" si="2"/>
        <v>5</v>
      </c>
      <c r="U66" s="615">
        <f t="shared" si="7"/>
        <v>5</v>
      </c>
      <c r="V66" s="615" t="str">
        <f t="shared" si="3"/>
        <v>×</v>
      </c>
      <c r="W66" s="615" t="str">
        <f t="shared" si="8"/>
        <v>○</v>
      </c>
    </row>
    <row r="67" spans="2:23" ht="36" customHeight="1">
      <c r="B67" s="42">
        <v>14</v>
      </c>
      <c r="C67" s="728" t="str">
        <f t="shared" si="4"/>
        <v/>
      </c>
      <c r="D67" s="783"/>
      <c r="E67" s="254"/>
      <c r="F67" s="254"/>
      <c r="G67" s="608"/>
      <c r="H67" s="609"/>
      <c r="I67" s="609"/>
      <c r="J67" s="255">
        <f t="shared" si="0"/>
        <v>0</v>
      </c>
      <c r="K67" s="732" t="str">
        <f t="shared" si="5"/>
        <v/>
      </c>
      <c r="L67" s="592"/>
      <c r="M67" s="608"/>
      <c r="N67" s="608"/>
      <c r="O67" s="608"/>
      <c r="P67" s="609"/>
      <c r="Q67" s="609"/>
      <c r="R67" s="255">
        <f t="shared" si="1"/>
        <v>0</v>
      </c>
      <c r="S67" s="615">
        <f t="shared" si="6"/>
        <v>5</v>
      </c>
      <c r="T67" s="615">
        <f t="shared" si="2"/>
        <v>5</v>
      </c>
      <c r="U67" s="615">
        <f t="shared" si="7"/>
        <v>5</v>
      </c>
      <c r="V67" s="615" t="str">
        <f t="shared" si="3"/>
        <v>×</v>
      </c>
      <c r="W67" s="615" t="str">
        <f t="shared" si="8"/>
        <v>○</v>
      </c>
    </row>
    <row r="68" spans="2:23" ht="36" customHeight="1">
      <c r="B68" s="42">
        <v>15</v>
      </c>
      <c r="C68" s="728" t="str">
        <f t="shared" si="4"/>
        <v/>
      </c>
      <c r="D68" s="783"/>
      <c r="E68" s="254"/>
      <c r="F68" s="254"/>
      <c r="G68" s="608"/>
      <c r="H68" s="609"/>
      <c r="I68" s="609"/>
      <c r="J68" s="255">
        <f t="shared" si="0"/>
        <v>0</v>
      </c>
      <c r="K68" s="732" t="str">
        <f t="shared" si="5"/>
        <v/>
      </c>
      <c r="L68" s="592"/>
      <c r="M68" s="608"/>
      <c r="N68" s="608"/>
      <c r="O68" s="608"/>
      <c r="P68" s="609"/>
      <c r="Q68" s="609"/>
      <c r="R68" s="255">
        <f t="shared" si="1"/>
        <v>0</v>
      </c>
      <c r="S68" s="615">
        <f t="shared" si="6"/>
        <v>5</v>
      </c>
      <c r="T68" s="615">
        <f t="shared" si="2"/>
        <v>5</v>
      </c>
      <c r="U68" s="615">
        <f t="shared" si="7"/>
        <v>5</v>
      </c>
      <c r="V68" s="615" t="str">
        <f t="shared" si="3"/>
        <v>×</v>
      </c>
      <c r="W68" s="615" t="str">
        <f t="shared" si="8"/>
        <v>○</v>
      </c>
    </row>
    <row r="69" spans="2:23" ht="36" customHeight="1">
      <c r="B69" s="42">
        <v>16</v>
      </c>
      <c r="C69" s="728" t="str">
        <f t="shared" si="4"/>
        <v/>
      </c>
      <c r="D69" s="783"/>
      <c r="E69" s="254"/>
      <c r="F69" s="254"/>
      <c r="G69" s="608"/>
      <c r="H69" s="609"/>
      <c r="I69" s="609"/>
      <c r="J69" s="255">
        <f t="shared" si="0"/>
        <v>0</v>
      </c>
      <c r="K69" s="732" t="str">
        <f t="shared" si="5"/>
        <v/>
      </c>
      <c r="L69" s="592"/>
      <c r="M69" s="608"/>
      <c r="N69" s="608"/>
      <c r="O69" s="608"/>
      <c r="P69" s="609"/>
      <c r="Q69" s="609"/>
      <c r="R69" s="255">
        <f t="shared" si="1"/>
        <v>0</v>
      </c>
      <c r="S69" s="615">
        <f t="shared" si="6"/>
        <v>5</v>
      </c>
      <c r="T69" s="615">
        <f t="shared" si="2"/>
        <v>5</v>
      </c>
      <c r="U69" s="615">
        <f t="shared" si="7"/>
        <v>5</v>
      </c>
      <c r="V69" s="615" t="str">
        <f t="shared" si="3"/>
        <v>×</v>
      </c>
      <c r="W69" s="615" t="str">
        <f t="shared" si="8"/>
        <v>○</v>
      </c>
    </row>
    <row r="70" spans="2:23" ht="36" customHeight="1">
      <c r="B70" s="42">
        <v>17</v>
      </c>
      <c r="C70" s="728" t="str">
        <f t="shared" si="4"/>
        <v/>
      </c>
      <c r="D70" s="783"/>
      <c r="E70" s="254"/>
      <c r="F70" s="254"/>
      <c r="G70" s="608"/>
      <c r="H70" s="609"/>
      <c r="I70" s="609"/>
      <c r="J70" s="255">
        <f t="shared" si="0"/>
        <v>0</v>
      </c>
      <c r="K70" s="732" t="str">
        <f t="shared" si="5"/>
        <v/>
      </c>
      <c r="L70" s="592"/>
      <c r="M70" s="608"/>
      <c r="N70" s="608"/>
      <c r="O70" s="608"/>
      <c r="P70" s="609"/>
      <c r="Q70" s="609"/>
      <c r="R70" s="255">
        <f t="shared" si="1"/>
        <v>0</v>
      </c>
      <c r="S70" s="615">
        <f t="shared" si="6"/>
        <v>5</v>
      </c>
      <c r="T70" s="615">
        <f t="shared" si="2"/>
        <v>5</v>
      </c>
      <c r="U70" s="615">
        <f t="shared" si="7"/>
        <v>5</v>
      </c>
      <c r="V70" s="615" t="str">
        <f t="shared" si="3"/>
        <v>×</v>
      </c>
      <c r="W70" s="615" t="str">
        <f t="shared" si="8"/>
        <v>○</v>
      </c>
    </row>
    <row r="71" spans="2:23" ht="36" customHeight="1">
      <c r="B71" s="42">
        <v>18</v>
      </c>
      <c r="C71" s="728" t="str">
        <f t="shared" si="4"/>
        <v/>
      </c>
      <c r="D71" s="783"/>
      <c r="E71" s="254"/>
      <c r="F71" s="254"/>
      <c r="G71" s="608"/>
      <c r="H71" s="609"/>
      <c r="I71" s="609"/>
      <c r="J71" s="255">
        <f t="shared" si="0"/>
        <v>0</v>
      </c>
      <c r="K71" s="732" t="str">
        <f t="shared" si="5"/>
        <v/>
      </c>
      <c r="L71" s="592"/>
      <c r="M71" s="608"/>
      <c r="N71" s="608"/>
      <c r="O71" s="608"/>
      <c r="P71" s="609"/>
      <c r="Q71" s="609"/>
      <c r="R71" s="255">
        <f t="shared" si="1"/>
        <v>0</v>
      </c>
      <c r="S71" s="615">
        <f t="shared" si="6"/>
        <v>5</v>
      </c>
      <c r="T71" s="615">
        <f t="shared" si="2"/>
        <v>5</v>
      </c>
      <c r="U71" s="615">
        <f t="shared" si="7"/>
        <v>5</v>
      </c>
      <c r="V71" s="615" t="str">
        <f t="shared" si="3"/>
        <v>×</v>
      </c>
      <c r="W71" s="615" t="str">
        <f t="shared" si="8"/>
        <v>○</v>
      </c>
    </row>
    <row r="72" spans="2:23" ht="36" customHeight="1">
      <c r="B72" s="42">
        <v>19</v>
      </c>
      <c r="C72" s="728" t="str">
        <f t="shared" si="4"/>
        <v/>
      </c>
      <c r="D72" s="783"/>
      <c r="E72" s="254"/>
      <c r="F72" s="254"/>
      <c r="G72" s="608"/>
      <c r="H72" s="609"/>
      <c r="I72" s="609"/>
      <c r="J72" s="255">
        <f t="shared" si="0"/>
        <v>0</v>
      </c>
      <c r="K72" s="732" t="str">
        <f t="shared" si="5"/>
        <v/>
      </c>
      <c r="L72" s="592"/>
      <c r="M72" s="608"/>
      <c r="N72" s="608"/>
      <c r="O72" s="608"/>
      <c r="P72" s="609"/>
      <c r="Q72" s="609"/>
      <c r="R72" s="255">
        <f t="shared" si="1"/>
        <v>0</v>
      </c>
      <c r="S72" s="615">
        <f t="shared" si="6"/>
        <v>5</v>
      </c>
      <c r="T72" s="615">
        <f t="shared" si="2"/>
        <v>5</v>
      </c>
      <c r="U72" s="615">
        <f t="shared" si="7"/>
        <v>5</v>
      </c>
      <c r="V72" s="615" t="str">
        <f t="shared" si="3"/>
        <v>×</v>
      </c>
      <c r="W72" s="615" t="str">
        <f t="shared" si="8"/>
        <v>○</v>
      </c>
    </row>
    <row r="73" spans="2:23" ht="36" customHeight="1">
      <c r="B73" s="42">
        <v>20</v>
      </c>
      <c r="C73" s="728" t="str">
        <f t="shared" si="4"/>
        <v/>
      </c>
      <c r="D73" s="783"/>
      <c r="E73" s="254"/>
      <c r="F73" s="254"/>
      <c r="G73" s="608"/>
      <c r="H73" s="609"/>
      <c r="I73" s="609"/>
      <c r="J73" s="255">
        <f t="shared" si="0"/>
        <v>0</v>
      </c>
      <c r="K73" s="732" t="str">
        <f t="shared" si="5"/>
        <v/>
      </c>
      <c r="L73" s="592"/>
      <c r="M73" s="608"/>
      <c r="N73" s="608"/>
      <c r="O73" s="608"/>
      <c r="P73" s="609"/>
      <c r="Q73" s="609"/>
      <c r="R73" s="255">
        <f t="shared" si="1"/>
        <v>0</v>
      </c>
      <c r="S73" s="615">
        <f t="shared" si="6"/>
        <v>5</v>
      </c>
      <c r="T73" s="615">
        <f t="shared" si="2"/>
        <v>5</v>
      </c>
      <c r="U73" s="615">
        <f t="shared" si="7"/>
        <v>5</v>
      </c>
      <c r="V73" s="615" t="str">
        <f t="shared" si="3"/>
        <v>×</v>
      </c>
      <c r="W73" s="615" t="str">
        <f t="shared" si="8"/>
        <v>○</v>
      </c>
    </row>
    <row r="74" spans="2:23" ht="36" customHeight="1">
      <c r="B74" s="42">
        <v>21</v>
      </c>
      <c r="C74" s="728" t="str">
        <f t="shared" si="4"/>
        <v/>
      </c>
      <c r="D74" s="783"/>
      <c r="E74" s="254"/>
      <c r="F74" s="254"/>
      <c r="G74" s="608"/>
      <c r="H74" s="609"/>
      <c r="I74" s="609"/>
      <c r="J74" s="255">
        <f t="shared" si="0"/>
        <v>0</v>
      </c>
      <c r="K74" s="732" t="str">
        <f t="shared" si="5"/>
        <v/>
      </c>
      <c r="L74" s="592"/>
      <c r="M74" s="608"/>
      <c r="N74" s="608"/>
      <c r="O74" s="608"/>
      <c r="P74" s="609"/>
      <c r="Q74" s="609"/>
      <c r="R74" s="255">
        <f t="shared" si="1"/>
        <v>0</v>
      </c>
      <c r="S74" s="615">
        <f t="shared" si="6"/>
        <v>5</v>
      </c>
      <c r="T74" s="615">
        <f t="shared" si="2"/>
        <v>5</v>
      </c>
      <c r="U74" s="615">
        <f t="shared" si="7"/>
        <v>5</v>
      </c>
      <c r="V74" s="615" t="str">
        <f t="shared" si="3"/>
        <v>×</v>
      </c>
      <c r="W74" s="615" t="str">
        <f t="shared" si="8"/>
        <v>○</v>
      </c>
    </row>
    <row r="75" spans="2:23" ht="36" customHeight="1">
      <c r="B75" s="42">
        <v>22</v>
      </c>
      <c r="C75" s="728" t="str">
        <f t="shared" si="4"/>
        <v/>
      </c>
      <c r="D75" s="783"/>
      <c r="E75" s="254"/>
      <c r="F75" s="254"/>
      <c r="G75" s="608"/>
      <c r="H75" s="609"/>
      <c r="I75" s="609"/>
      <c r="J75" s="255">
        <f t="shared" si="0"/>
        <v>0</v>
      </c>
      <c r="K75" s="732" t="str">
        <f t="shared" si="5"/>
        <v/>
      </c>
      <c r="L75" s="592"/>
      <c r="M75" s="608"/>
      <c r="N75" s="608"/>
      <c r="O75" s="608"/>
      <c r="P75" s="609"/>
      <c r="Q75" s="609"/>
      <c r="R75" s="255">
        <f t="shared" si="1"/>
        <v>0</v>
      </c>
      <c r="S75" s="615">
        <f t="shared" si="6"/>
        <v>5</v>
      </c>
      <c r="T75" s="615">
        <f t="shared" si="2"/>
        <v>5</v>
      </c>
      <c r="U75" s="615">
        <f t="shared" si="7"/>
        <v>5</v>
      </c>
      <c r="V75" s="615" t="str">
        <f t="shared" si="3"/>
        <v>×</v>
      </c>
      <c r="W75" s="615" t="str">
        <f t="shared" si="8"/>
        <v>○</v>
      </c>
    </row>
    <row r="76" spans="2:23" ht="36" customHeight="1">
      <c r="B76" s="42">
        <v>23</v>
      </c>
      <c r="C76" s="728" t="str">
        <f t="shared" si="4"/>
        <v/>
      </c>
      <c r="D76" s="783"/>
      <c r="E76" s="254"/>
      <c r="F76" s="254"/>
      <c r="G76" s="608"/>
      <c r="H76" s="609"/>
      <c r="I76" s="609"/>
      <c r="J76" s="255">
        <f t="shared" si="0"/>
        <v>0</v>
      </c>
      <c r="K76" s="732" t="str">
        <f t="shared" si="5"/>
        <v/>
      </c>
      <c r="L76" s="592"/>
      <c r="M76" s="608"/>
      <c r="N76" s="608"/>
      <c r="O76" s="608"/>
      <c r="P76" s="609"/>
      <c r="Q76" s="609"/>
      <c r="R76" s="255">
        <f t="shared" si="1"/>
        <v>0</v>
      </c>
      <c r="S76" s="615">
        <f t="shared" si="6"/>
        <v>5</v>
      </c>
      <c r="T76" s="615">
        <f t="shared" si="2"/>
        <v>5</v>
      </c>
      <c r="U76" s="615">
        <f t="shared" si="7"/>
        <v>5</v>
      </c>
      <c r="V76" s="615" t="str">
        <f t="shared" si="3"/>
        <v>×</v>
      </c>
      <c r="W76" s="615" t="str">
        <f t="shared" si="8"/>
        <v>○</v>
      </c>
    </row>
    <row r="77" spans="2:23" ht="36" customHeight="1">
      <c r="B77" s="42">
        <v>24</v>
      </c>
      <c r="C77" s="728" t="str">
        <f t="shared" si="4"/>
        <v/>
      </c>
      <c r="D77" s="783"/>
      <c r="E77" s="254"/>
      <c r="F77" s="254"/>
      <c r="G77" s="608"/>
      <c r="H77" s="609"/>
      <c r="I77" s="609"/>
      <c r="J77" s="255">
        <f t="shared" si="0"/>
        <v>0</v>
      </c>
      <c r="K77" s="732" t="str">
        <f t="shared" si="5"/>
        <v/>
      </c>
      <c r="L77" s="592"/>
      <c r="M77" s="608"/>
      <c r="N77" s="608"/>
      <c r="O77" s="608"/>
      <c r="P77" s="609"/>
      <c r="Q77" s="609"/>
      <c r="R77" s="255">
        <f t="shared" si="1"/>
        <v>0</v>
      </c>
      <c r="S77" s="615">
        <f t="shared" si="6"/>
        <v>5</v>
      </c>
      <c r="T77" s="615">
        <f t="shared" si="2"/>
        <v>5</v>
      </c>
      <c r="U77" s="615">
        <f t="shared" si="7"/>
        <v>5</v>
      </c>
      <c r="V77" s="615" t="str">
        <f t="shared" si="3"/>
        <v>×</v>
      </c>
      <c r="W77" s="615" t="str">
        <f t="shared" si="8"/>
        <v>○</v>
      </c>
    </row>
    <row r="78" spans="2:23" ht="36" customHeight="1">
      <c r="B78" s="42">
        <v>25</v>
      </c>
      <c r="C78" s="728" t="str">
        <f t="shared" si="4"/>
        <v/>
      </c>
      <c r="D78" s="783"/>
      <c r="E78" s="254"/>
      <c r="F78" s="254"/>
      <c r="G78" s="608"/>
      <c r="H78" s="609"/>
      <c r="I78" s="609"/>
      <c r="J78" s="255">
        <f t="shared" si="0"/>
        <v>0</v>
      </c>
      <c r="K78" s="732" t="str">
        <f t="shared" si="5"/>
        <v/>
      </c>
      <c r="L78" s="592"/>
      <c r="M78" s="608"/>
      <c r="N78" s="608"/>
      <c r="O78" s="608"/>
      <c r="P78" s="609"/>
      <c r="Q78" s="609"/>
      <c r="R78" s="255">
        <f t="shared" si="1"/>
        <v>0</v>
      </c>
      <c r="S78" s="615">
        <f t="shared" si="6"/>
        <v>5</v>
      </c>
      <c r="T78" s="615">
        <f t="shared" si="2"/>
        <v>5</v>
      </c>
      <c r="U78" s="615">
        <f t="shared" si="7"/>
        <v>5</v>
      </c>
      <c r="V78" s="615" t="str">
        <f t="shared" si="3"/>
        <v>×</v>
      </c>
      <c r="W78" s="615" t="str">
        <f t="shared" si="8"/>
        <v>○</v>
      </c>
    </row>
    <row r="79" spans="2:23" ht="36" customHeight="1">
      <c r="B79" s="42">
        <v>26</v>
      </c>
      <c r="C79" s="728" t="str">
        <f t="shared" si="4"/>
        <v/>
      </c>
      <c r="D79" s="783"/>
      <c r="E79" s="254"/>
      <c r="F79" s="254"/>
      <c r="G79" s="608"/>
      <c r="H79" s="609"/>
      <c r="I79" s="609"/>
      <c r="J79" s="255">
        <f t="shared" si="0"/>
        <v>0</v>
      </c>
      <c r="K79" s="732" t="str">
        <f t="shared" si="5"/>
        <v/>
      </c>
      <c r="L79" s="592"/>
      <c r="M79" s="608"/>
      <c r="N79" s="608"/>
      <c r="O79" s="608"/>
      <c r="P79" s="609"/>
      <c r="Q79" s="609"/>
      <c r="R79" s="255">
        <f t="shared" si="1"/>
        <v>0</v>
      </c>
      <c r="S79" s="615">
        <f t="shared" si="6"/>
        <v>5</v>
      </c>
      <c r="T79" s="615">
        <f t="shared" si="2"/>
        <v>5</v>
      </c>
      <c r="U79" s="615">
        <f t="shared" si="7"/>
        <v>5</v>
      </c>
      <c r="V79" s="615" t="str">
        <f t="shared" si="3"/>
        <v>×</v>
      </c>
      <c r="W79" s="615" t="str">
        <f t="shared" si="8"/>
        <v>○</v>
      </c>
    </row>
    <row r="80" spans="2:23" ht="36" customHeight="1">
      <c r="B80" s="42">
        <v>27</v>
      </c>
      <c r="C80" s="728" t="str">
        <f t="shared" si="4"/>
        <v/>
      </c>
      <c r="D80" s="783"/>
      <c r="E80" s="254"/>
      <c r="F80" s="254"/>
      <c r="G80" s="608"/>
      <c r="H80" s="609"/>
      <c r="I80" s="609"/>
      <c r="J80" s="255">
        <f t="shared" si="0"/>
        <v>0</v>
      </c>
      <c r="K80" s="732" t="str">
        <f t="shared" si="5"/>
        <v/>
      </c>
      <c r="L80" s="592"/>
      <c r="M80" s="608"/>
      <c r="N80" s="608"/>
      <c r="O80" s="608"/>
      <c r="P80" s="609"/>
      <c r="Q80" s="609"/>
      <c r="R80" s="255">
        <f t="shared" si="1"/>
        <v>0</v>
      </c>
      <c r="S80" s="615">
        <f t="shared" si="6"/>
        <v>5</v>
      </c>
      <c r="T80" s="615">
        <f t="shared" si="2"/>
        <v>5</v>
      </c>
      <c r="U80" s="615">
        <f t="shared" si="7"/>
        <v>5</v>
      </c>
      <c r="V80" s="615" t="str">
        <f t="shared" si="3"/>
        <v>×</v>
      </c>
      <c r="W80" s="615" t="str">
        <f t="shared" si="8"/>
        <v>○</v>
      </c>
    </row>
    <row r="81" spans="2:23" ht="36" customHeight="1">
      <c r="B81" s="42">
        <v>28</v>
      </c>
      <c r="C81" s="728" t="str">
        <f t="shared" si="4"/>
        <v/>
      </c>
      <c r="D81" s="783"/>
      <c r="E81" s="254"/>
      <c r="F81" s="254"/>
      <c r="G81" s="608"/>
      <c r="H81" s="609"/>
      <c r="I81" s="609"/>
      <c r="J81" s="255">
        <f t="shared" si="0"/>
        <v>0</v>
      </c>
      <c r="K81" s="732" t="str">
        <f t="shared" si="5"/>
        <v/>
      </c>
      <c r="L81" s="592"/>
      <c r="M81" s="608"/>
      <c r="N81" s="608"/>
      <c r="O81" s="608"/>
      <c r="P81" s="609"/>
      <c r="Q81" s="609"/>
      <c r="R81" s="255">
        <f t="shared" si="1"/>
        <v>0</v>
      </c>
      <c r="S81" s="615">
        <f t="shared" si="6"/>
        <v>5</v>
      </c>
      <c r="T81" s="615">
        <f t="shared" si="2"/>
        <v>5</v>
      </c>
      <c r="U81" s="615">
        <f t="shared" si="7"/>
        <v>5</v>
      </c>
      <c r="V81" s="615" t="str">
        <f t="shared" si="3"/>
        <v>×</v>
      </c>
      <c r="W81" s="615" t="str">
        <f t="shared" si="8"/>
        <v>○</v>
      </c>
    </row>
    <row r="82" spans="2:23" ht="36" customHeight="1">
      <c r="B82" s="42">
        <v>29</v>
      </c>
      <c r="C82" s="728" t="str">
        <f t="shared" si="4"/>
        <v/>
      </c>
      <c r="D82" s="783"/>
      <c r="E82" s="254"/>
      <c r="F82" s="254"/>
      <c r="G82" s="608"/>
      <c r="H82" s="609"/>
      <c r="I82" s="609"/>
      <c r="J82" s="255">
        <f t="shared" si="0"/>
        <v>0</v>
      </c>
      <c r="K82" s="732" t="str">
        <f t="shared" si="5"/>
        <v/>
      </c>
      <c r="L82" s="592"/>
      <c r="M82" s="608"/>
      <c r="N82" s="608"/>
      <c r="O82" s="608"/>
      <c r="P82" s="609"/>
      <c r="Q82" s="609"/>
      <c r="R82" s="255">
        <f t="shared" si="1"/>
        <v>0</v>
      </c>
      <c r="S82" s="615">
        <f t="shared" si="6"/>
        <v>5</v>
      </c>
      <c r="T82" s="615">
        <f t="shared" si="2"/>
        <v>5</v>
      </c>
      <c r="U82" s="615">
        <f t="shared" si="7"/>
        <v>5</v>
      </c>
      <c r="V82" s="615" t="str">
        <f t="shared" si="3"/>
        <v>×</v>
      </c>
      <c r="W82" s="615" t="str">
        <f t="shared" si="8"/>
        <v>○</v>
      </c>
    </row>
    <row r="83" spans="2:23" ht="36" customHeight="1">
      <c r="B83" s="42">
        <v>30</v>
      </c>
      <c r="C83" s="728" t="str">
        <f t="shared" si="4"/>
        <v/>
      </c>
      <c r="D83" s="783"/>
      <c r="E83" s="254"/>
      <c r="F83" s="254"/>
      <c r="G83" s="608"/>
      <c r="H83" s="609"/>
      <c r="I83" s="609"/>
      <c r="J83" s="255">
        <f t="shared" si="0"/>
        <v>0</v>
      </c>
      <c r="K83" s="732" t="str">
        <f t="shared" si="5"/>
        <v/>
      </c>
      <c r="L83" s="592"/>
      <c r="M83" s="608"/>
      <c r="N83" s="608"/>
      <c r="O83" s="608"/>
      <c r="P83" s="609"/>
      <c r="Q83" s="609"/>
      <c r="R83" s="255">
        <f t="shared" si="1"/>
        <v>0</v>
      </c>
      <c r="S83" s="615">
        <f t="shared" si="6"/>
        <v>5</v>
      </c>
      <c r="T83" s="615">
        <f t="shared" si="2"/>
        <v>5</v>
      </c>
      <c r="U83" s="615">
        <f t="shared" si="7"/>
        <v>5</v>
      </c>
      <c r="V83" s="615" t="str">
        <f t="shared" si="3"/>
        <v>×</v>
      </c>
      <c r="W83" s="615" t="str">
        <f t="shared" si="8"/>
        <v>○</v>
      </c>
    </row>
    <row r="84" spans="2:23" ht="36" customHeight="1">
      <c r="B84" s="42">
        <v>31</v>
      </c>
      <c r="C84" s="728" t="str">
        <f t="shared" si="4"/>
        <v/>
      </c>
      <c r="D84" s="783"/>
      <c r="E84" s="254"/>
      <c r="F84" s="254"/>
      <c r="G84" s="608"/>
      <c r="H84" s="609"/>
      <c r="I84" s="609"/>
      <c r="J84" s="255">
        <f t="shared" si="0"/>
        <v>0</v>
      </c>
      <c r="K84" s="732" t="str">
        <f t="shared" si="5"/>
        <v/>
      </c>
      <c r="L84" s="592"/>
      <c r="M84" s="608"/>
      <c r="N84" s="608"/>
      <c r="O84" s="608"/>
      <c r="P84" s="609"/>
      <c r="Q84" s="609"/>
      <c r="R84" s="255">
        <f t="shared" si="1"/>
        <v>0</v>
      </c>
      <c r="S84" s="615">
        <f t="shared" si="6"/>
        <v>5</v>
      </c>
      <c r="T84" s="615">
        <f t="shared" si="2"/>
        <v>5</v>
      </c>
      <c r="U84" s="615">
        <f t="shared" si="7"/>
        <v>5</v>
      </c>
      <c r="V84" s="615" t="str">
        <f t="shared" si="3"/>
        <v>×</v>
      </c>
      <c r="W84" s="615" t="str">
        <f t="shared" si="8"/>
        <v>○</v>
      </c>
    </row>
    <row r="85" spans="2:23" ht="36" customHeight="1">
      <c r="B85" s="42">
        <v>32</v>
      </c>
      <c r="C85" s="728" t="str">
        <f t="shared" si="4"/>
        <v/>
      </c>
      <c r="D85" s="783"/>
      <c r="E85" s="254"/>
      <c r="F85" s="254"/>
      <c r="G85" s="608"/>
      <c r="H85" s="609"/>
      <c r="I85" s="609"/>
      <c r="J85" s="255">
        <f t="shared" si="0"/>
        <v>0</v>
      </c>
      <c r="K85" s="732" t="str">
        <f t="shared" si="5"/>
        <v/>
      </c>
      <c r="L85" s="592"/>
      <c r="M85" s="608"/>
      <c r="N85" s="608"/>
      <c r="O85" s="608"/>
      <c r="P85" s="609"/>
      <c r="Q85" s="609"/>
      <c r="R85" s="255">
        <f t="shared" si="1"/>
        <v>0</v>
      </c>
      <c r="S85" s="615">
        <f t="shared" si="6"/>
        <v>5</v>
      </c>
      <c r="T85" s="615">
        <f t="shared" si="2"/>
        <v>5</v>
      </c>
      <c r="U85" s="615">
        <f t="shared" si="7"/>
        <v>5</v>
      </c>
      <c r="V85" s="615" t="str">
        <f t="shared" si="3"/>
        <v>×</v>
      </c>
      <c r="W85" s="615" t="str">
        <f t="shared" si="8"/>
        <v>○</v>
      </c>
    </row>
    <row r="86" spans="2:23" ht="36" customHeight="1">
      <c r="B86" s="42">
        <v>33</v>
      </c>
      <c r="C86" s="728" t="str">
        <f t="shared" si="4"/>
        <v/>
      </c>
      <c r="D86" s="783"/>
      <c r="E86" s="254"/>
      <c r="F86" s="254"/>
      <c r="G86" s="608"/>
      <c r="H86" s="609"/>
      <c r="I86" s="609"/>
      <c r="J86" s="255">
        <f t="shared" ref="J86:J103" si="9">ROUND(H86*I86/1000,0)</f>
        <v>0</v>
      </c>
      <c r="K86" s="732" t="str">
        <f t="shared" si="5"/>
        <v/>
      </c>
      <c r="L86" s="592"/>
      <c r="M86" s="608"/>
      <c r="N86" s="608"/>
      <c r="O86" s="608"/>
      <c r="P86" s="609"/>
      <c r="Q86" s="609"/>
      <c r="R86" s="255">
        <f t="shared" ref="R86:R103" si="10">ROUND(P86*Q86/1000,0)</f>
        <v>0</v>
      </c>
      <c r="S86" s="615">
        <f t="shared" si="6"/>
        <v>5</v>
      </c>
      <c r="T86" s="615">
        <f t="shared" ref="T86:T103" si="11">IF(D86="",5,IF(D86=$D$44,0,1))</f>
        <v>5</v>
      </c>
      <c r="U86" s="615">
        <f t="shared" si="7"/>
        <v>5</v>
      </c>
      <c r="V86" s="615" t="str">
        <f t="shared" ref="V86:V103" si="12">IF(OR(D86=$D$40,D86=$D$41),"○","×")</f>
        <v>×</v>
      </c>
      <c r="W86" s="615" t="str">
        <f t="shared" si="8"/>
        <v>○</v>
      </c>
    </row>
    <row r="87" spans="2:23" ht="36" customHeight="1">
      <c r="B87" s="42">
        <v>34</v>
      </c>
      <c r="C87" s="728" t="str">
        <f t="shared" si="4"/>
        <v/>
      </c>
      <c r="D87" s="783"/>
      <c r="E87" s="254"/>
      <c r="F87" s="254"/>
      <c r="G87" s="608"/>
      <c r="H87" s="609"/>
      <c r="I87" s="609"/>
      <c r="J87" s="255">
        <f t="shared" si="9"/>
        <v>0</v>
      </c>
      <c r="K87" s="732" t="str">
        <f t="shared" si="5"/>
        <v/>
      </c>
      <c r="L87" s="592"/>
      <c r="M87" s="608"/>
      <c r="N87" s="608"/>
      <c r="O87" s="608"/>
      <c r="P87" s="609"/>
      <c r="Q87" s="609"/>
      <c r="R87" s="255">
        <f t="shared" si="10"/>
        <v>0</v>
      </c>
      <c r="S87" s="615">
        <f t="shared" si="6"/>
        <v>5</v>
      </c>
      <c r="T87" s="615">
        <f t="shared" si="11"/>
        <v>5</v>
      </c>
      <c r="U87" s="615">
        <f t="shared" si="7"/>
        <v>5</v>
      </c>
      <c r="V87" s="615" t="str">
        <f t="shared" si="12"/>
        <v>×</v>
      </c>
      <c r="W87" s="615" t="str">
        <f t="shared" si="8"/>
        <v>○</v>
      </c>
    </row>
    <row r="88" spans="2:23" ht="36" customHeight="1">
      <c r="B88" s="42">
        <v>35</v>
      </c>
      <c r="C88" s="728" t="str">
        <f t="shared" si="4"/>
        <v/>
      </c>
      <c r="D88" s="783"/>
      <c r="E88" s="254"/>
      <c r="F88" s="254"/>
      <c r="G88" s="608"/>
      <c r="H88" s="609"/>
      <c r="I88" s="609"/>
      <c r="J88" s="255">
        <f t="shared" si="9"/>
        <v>0</v>
      </c>
      <c r="K88" s="732" t="str">
        <f t="shared" si="5"/>
        <v/>
      </c>
      <c r="L88" s="592"/>
      <c r="M88" s="608"/>
      <c r="N88" s="608"/>
      <c r="O88" s="608"/>
      <c r="P88" s="609"/>
      <c r="Q88" s="609"/>
      <c r="R88" s="255">
        <f t="shared" si="10"/>
        <v>0</v>
      </c>
      <c r="S88" s="615">
        <f t="shared" si="6"/>
        <v>5</v>
      </c>
      <c r="T88" s="615">
        <f t="shared" si="11"/>
        <v>5</v>
      </c>
      <c r="U88" s="615">
        <f t="shared" si="7"/>
        <v>5</v>
      </c>
      <c r="V88" s="615" t="str">
        <f t="shared" si="12"/>
        <v>×</v>
      </c>
      <c r="W88" s="615" t="str">
        <f t="shared" si="8"/>
        <v>○</v>
      </c>
    </row>
    <row r="89" spans="2:23" ht="36" customHeight="1">
      <c r="B89" s="42">
        <v>36</v>
      </c>
      <c r="C89" s="728" t="str">
        <f t="shared" si="4"/>
        <v/>
      </c>
      <c r="D89" s="783"/>
      <c r="E89" s="254"/>
      <c r="F89" s="254"/>
      <c r="G89" s="608"/>
      <c r="H89" s="609"/>
      <c r="I89" s="609"/>
      <c r="J89" s="255">
        <f t="shared" si="9"/>
        <v>0</v>
      </c>
      <c r="K89" s="732" t="str">
        <f t="shared" si="5"/>
        <v/>
      </c>
      <c r="L89" s="592"/>
      <c r="M89" s="608"/>
      <c r="N89" s="608"/>
      <c r="O89" s="608"/>
      <c r="P89" s="609"/>
      <c r="Q89" s="609"/>
      <c r="R89" s="255">
        <f t="shared" si="10"/>
        <v>0</v>
      </c>
      <c r="S89" s="615">
        <f t="shared" si="6"/>
        <v>5</v>
      </c>
      <c r="T89" s="615">
        <f t="shared" si="11"/>
        <v>5</v>
      </c>
      <c r="U89" s="615">
        <f t="shared" si="7"/>
        <v>5</v>
      </c>
      <c r="V89" s="615" t="str">
        <f t="shared" si="12"/>
        <v>×</v>
      </c>
      <c r="W89" s="615" t="str">
        <f t="shared" si="8"/>
        <v>○</v>
      </c>
    </row>
    <row r="90" spans="2:23" ht="36" customHeight="1">
      <c r="B90" s="42">
        <v>37</v>
      </c>
      <c r="C90" s="728" t="str">
        <f t="shared" si="4"/>
        <v/>
      </c>
      <c r="D90" s="783"/>
      <c r="E90" s="254"/>
      <c r="F90" s="254"/>
      <c r="G90" s="608"/>
      <c r="H90" s="609"/>
      <c r="I90" s="609"/>
      <c r="J90" s="255">
        <f t="shared" si="9"/>
        <v>0</v>
      </c>
      <c r="K90" s="732" t="str">
        <f t="shared" si="5"/>
        <v/>
      </c>
      <c r="L90" s="592"/>
      <c r="M90" s="608"/>
      <c r="N90" s="608"/>
      <c r="O90" s="608"/>
      <c r="P90" s="609"/>
      <c r="Q90" s="609"/>
      <c r="R90" s="255">
        <f t="shared" si="10"/>
        <v>0</v>
      </c>
      <c r="S90" s="615">
        <f t="shared" si="6"/>
        <v>5</v>
      </c>
      <c r="T90" s="615">
        <f t="shared" si="11"/>
        <v>5</v>
      </c>
      <c r="U90" s="615">
        <f t="shared" si="7"/>
        <v>5</v>
      </c>
      <c r="V90" s="615" t="str">
        <f t="shared" si="12"/>
        <v>×</v>
      </c>
      <c r="W90" s="615" t="str">
        <f t="shared" si="8"/>
        <v>○</v>
      </c>
    </row>
    <row r="91" spans="2:23" ht="36" customHeight="1">
      <c r="B91" s="42">
        <v>38</v>
      </c>
      <c r="C91" s="728" t="str">
        <f t="shared" si="4"/>
        <v/>
      </c>
      <c r="D91" s="783"/>
      <c r="E91" s="254"/>
      <c r="F91" s="254"/>
      <c r="G91" s="608"/>
      <c r="H91" s="609"/>
      <c r="I91" s="609"/>
      <c r="J91" s="255">
        <f t="shared" si="9"/>
        <v>0</v>
      </c>
      <c r="K91" s="732" t="str">
        <f t="shared" si="5"/>
        <v/>
      </c>
      <c r="L91" s="592"/>
      <c r="M91" s="608"/>
      <c r="N91" s="608"/>
      <c r="O91" s="608"/>
      <c r="P91" s="609"/>
      <c r="Q91" s="609"/>
      <c r="R91" s="255">
        <f t="shared" si="10"/>
        <v>0</v>
      </c>
      <c r="S91" s="615">
        <f t="shared" si="6"/>
        <v>5</v>
      </c>
      <c r="T91" s="615">
        <f t="shared" si="11"/>
        <v>5</v>
      </c>
      <c r="U91" s="615">
        <f t="shared" si="7"/>
        <v>5</v>
      </c>
      <c r="V91" s="615" t="str">
        <f t="shared" si="12"/>
        <v>×</v>
      </c>
      <c r="W91" s="615" t="str">
        <f t="shared" si="8"/>
        <v>○</v>
      </c>
    </row>
    <row r="92" spans="2:23" ht="36" customHeight="1">
      <c r="B92" s="42">
        <v>39</v>
      </c>
      <c r="C92" s="728" t="str">
        <f t="shared" si="4"/>
        <v/>
      </c>
      <c r="D92" s="783"/>
      <c r="E92" s="254"/>
      <c r="F92" s="254"/>
      <c r="G92" s="608"/>
      <c r="H92" s="609"/>
      <c r="I92" s="609"/>
      <c r="J92" s="255">
        <f t="shared" si="9"/>
        <v>0</v>
      </c>
      <c r="K92" s="732" t="str">
        <f t="shared" si="5"/>
        <v/>
      </c>
      <c r="L92" s="592"/>
      <c r="M92" s="608"/>
      <c r="N92" s="608"/>
      <c r="O92" s="608"/>
      <c r="P92" s="609"/>
      <c r="Q92" s="609"/>
      <c r="R92" s="255">
        <f t="shared" si="10"/>
        <v>0</v>
      </c>
      <c r="S92" s="615">
        <f t="shared" si="6"/>
        <v>5</v>
      </c>
      <c r="T92" s="615">
        <f t="shared" si="11"/>
        <v>5</v>
      </c>
      <c r="U92" s="615">
        <f t="shared" si="7"/>
        <v>5</v>
      </c>
      <c r="V92" s="615" t="str">
        <f t="shared" si="12"/>
        <v>×</v>
      </c>
      <c r="W92" s="615" t="str">
        <f t="shared" si="8"/>
        <v>○</v>
      </c>
    </row>
    <row r="93" spans="2:23" ht="36" customHeight="1">
      <c r="B93" s="42">
        <v>40</v>
      </c>
      <c r="C93" s="728" t="str">
        <f t="shared" si="4"/>
        <v/>
      </c>
      <c r="D93" s="783"/>
      <c r="E93" s="254"/>
      <c r="F93" s="254"/>
      <c r="G93" s="608"/>
      <c r="H93" s="609"/>
      <c r="I93" s="609"/>
      <c r="J93" s="255">
        <f t="shared" si="9"/>
        <v>0</v>
      </c>
      <c r="K93" s="732" t="str">
        <f t="shared" si="5"/>
        <v/>
      </c>
      <c r="L93" s="592"/>
      <c r="M93" s="608"/>
      <c r="N93" s="608"/>
      <c r="O93" s="608"/>
      <c r="P93" s="609"/>
      <c r="Q93" s="609"/>
      <c r="R93" s="255">
        <f t="shared" si="10"/>
        <v>0</v>
      </c>
      <c r="S93" s="615">
        <f t="shared" si="6"/>
        <v>5</v>
      </c>
      <c r="T93" s="615">
        <f t="shared" si="11"/>
        <v>5</v>
      </c>
      <c r="U93" s="615">
        <f t="shared" si="7"/>
        <v>5</v>
      </c>
      <c r="V93" s="615" t="str">
        <f t="shared" si="12"/>
        <v>×</v>
      </c>
      <c r="W93" s="615" t="str">
        <f t="shared" si="8"/>
        <v>○</v>
      </c>
    </row>
    <row r="94" spans="2:23" ht="36" customHeight="1">
      <c r="B94" s="42">
        <v>41</v>
      </c>
      <c r="C94" s="728" t="str">
        <f t="shared" si="4"/>
        <v/>
      </c>
      <c r="D94" s="783"/>
      <c r="E94" s="254"/>
      <c r="F94" s="254"/>
      <c r="G94" s="608"/>
      <c r="H94" s="609"/>
      <c r="I94" s="609"/>
      <c r="J94" s="255">
        <f t="shared" si="9"/>
        <v>0</v>
      </c>
      <c r="K94" s="732" t="str">
        <f t="shared" si="5"/>
        <v/>
      </c>
      <c r="L94" s="592"/>
      <c r="M94" s="608"/>
      <c r="N94" s="608"/>
      <c r="O94" s="608"/>
      <c r="P94" s="609"/>
      <c r="Q94" s="609"/>
      <c r="R94" s="255">
        <f t="shared" si="10"/>
        <v>0</v>
      </c>
      <c r="S94" s="615">
        <f t="shared" si="6"/>
        <v>5</v>
      </c>
      <c r="T94" s="615">
        <f t="shared" si="11"/>
        <v>5</v>
      </c>
      <c r="U94" s="615">
        <f t="shared" si="7"/>
        <v>5</v>
      </c>
      <c r="V94" s="615" t="str">
        <f t="shared" si="12"/>
        <v>×</v>
      </c>
      <c r="W94" s="615" t="str">
        <f t="shared" si="8"/>
        <v>○</v>
      </c>
    </row>
    <row r="95" spans="2:23" ht="36" customHeight="1">
      <c r="B95" s="42">
        <v>42</v>
      </c>
      <c r="C95" s="728" t="str">
        <f t="shared" si="4"/>
        <v/>
      </c>
      <c r="D95" s="783"/>
      <c r="E95" s="254"/>
      <c r="F95" s="254"/>
      <c r="G95" s="608"/>
      <c r="H95" s="609"/>
      <c r="I95" s="609"/>
      <c r="J95" s="255">
        <f t="shared" si="9"/>
        <v>0</v>
      </c>
      <c r="K95" s="732" t="str">
        <f t="shared" si="5"/>
        <v/>
      </c>
      <c r="L95" s="592"/>
      <c r="M95" s="608"/>
      <c r="N95" s="608"/>
      <c r="O95" s="608"/>
      <c r="P95" s="609"/>
      <c r="Q95" s="609"/>
      <c r="R95" s="255">
        <f t="shared" si="10"/>
        <v>0</v>
      </c>
      <c r="S95" s="615">
        <f t="shared" si="6"/>
        <v>5</v>
      </c>
      <c r="T95" s="615">
        <f t="shared" si="11"/>
        <v>5</v>
      </c>
      <c r="U95" s="615">
        <f t="shared" si="7"/>
        <v>5</v>
      </c>
      <c r="V95" s="615" t="str">
        <f t="shared" si="12"/>
        <v>×</v>
      </c>
      <c r="W95" s="615" t="str">
        <f t="shared" si="8"/>
        <v>○</v>
      </c>
    </row>
    <row r="96" spans="2:23" ht="36" customHeight="1">
      <c r="B96" s="42">
        <v>43</v>
      </c>
      <c r="C96" s="728" t="str">
        <f t="shared" si="4"/>
        <v/>
      </c>
      <c r="D96" s="783"/>
      <c r="E96" s="254"/>
      <c r="F96" s="254"/>
      <c r="G96" s="608"/>
      <c r="H96" s="609"/>
      <c r="I96" s="609"/>
      <c r="J96" s="255">
        <f t="shared" si="9"/>
        <v>0</v>
      </c>
      <c r="K96" s="732" t="str">
        <f t="shared" si="5"/>
        <v/>
      </c>
      <c r="L96" s="592"/>
      <c r="M96" s="608"/>
      <c r="N96" s="608"/>
      <c r="O96" s="608"/>
      <c r="P96" s="609"/>
      <c r="Q96" s="609"/>
      <c r="R96" s="255">
        <f t="shared" si="10"/>
        <v>0</v>
      </c>
      <c r="S96" s="615">
        <f t="shared" si="6"/>
        <v>5</v>
      </c>
      <c r="T96" s="615">
        <f t="shared" si="11"/>
        <v>5</v>
      </c>
      <c r="U96" s="615">
        <f t="shared" si="7"/>
        <v>5</v>
      </c>
      <c r="V96" s="615" t="str">
        <f t="shared" si="12"/>
        <v>×</v>
      </c>
      <c r="W96" s="615" t="str">
        <f t="shared" si="8"/>
        <v>○</v>
      </c>
    </row>
    <row r="97" spans="2:23" ht="36" customHeight="1">
      <c r="B97" s="42">
        <v>44</v>
      </c>
      <c r="C97" s="728" t="str">
        <f t="shared" si="4"/>
        <v/>
      </c>
      <c r="D97" s="783"/>
      <c r="E97" s="254"/>
      <c r="F97" s="254"/>
      <c r="G97" s="608"/>
      <c r="H97" s="609"/>
      <c r="I97" s="609"/>
      <c r="J97" s="255">
        <f t="shared" si="9"/>
        <v>0</v>
      </c>
      <c r="K97" s="732" t="str">
        <f t="shared" si="5"/>
        <v/>
      </c>
      <c r="L97" s="592"/>
      <c r="M97" s="608"/>
      <c r="N97" s="608"/>
      <c r="O97" s="608"/>
      <c r="P97" s="609"/>
      <c r="Q97" s="609"/>
      <c r="R97" s="255">
        <f t="shared" si="10"/>
        <v>0</v>
      </c>
      <c r="S97" s="615">
        <f t="shared" si="6"/>
        <v>5</v>
      </c>
      <c r="T97" s="615">
        <f t="shared" si="11"/>
        <v>5</v>
      </c>
      <c r="U97" s="615">
        <f t="shared" si="7"/>
        <v>5</v>
      </c>
      <c r="V97" s="615" t="str">
        <f t="shared" si="12"/>
        <v>×</v>
      </c>
      <c r="W97" s="615" t="str">
        <f t="shared" si="8"/>
        <v>○</v>
      </c>
    </row>
    <row r="98" spans="2:23" ht="36" customHeight="1">
      <c r="B98" s="42">
        <v>45</v>
      </c>
      <c r="C98" s="728" t="str">
        <f t="shared" si="4"/>
        <v/>
      </c>
      <c r="D98" s="783"/>
      <c r="E98" s="254"/>
      <c r="F98" s="254"/>
      <c r="G98" s="608"/>
      <c r="H98" s="609"/>
      <c r="I98" s="609"/>
      <c r="J98" s="255">
        <f t="shared" si="9"/>
        <v>0</v>
      </c>
      <c r="K98" s="732" t="str">
        <f t="shared" si="5"/>
        <v/>
      </c>
      <c r="L98" s="592"/>
      <c r="M98" s="608"/>
      <c r="N98" s="608"/>
      <c r="O98" s="608"/>
      <c r="P98" s="609"/>
      <c r="Q98" s="609"/>
      <c r="R98" s="255">
        <f t="shared" si="10"/>
        <v>0</v>
      </c>
      <c r="S98" s="615">
        <f t="shared" si="6"/>
        <v>5</v>
      </c>
      <c r="T98" s="615">
        <f t="shared" si="11"/>
        <v>5</v>
      </c>
      <c r="U98" s="615">
        <f t="shared" si="7"/>
        <v>5</v>
      </c>
      <c r="V98" s="615" t="str">
        <f t="shared" si="12"/>
        <v>×</v>
      </c>
      <c r="W98" s="615" t="str">
        <f t="shared" si="8"/>
        <v>○</v>
      </c>
    </row>
    <row r="99" spans="2:23" ht="36" customHeight="1">
      <c r="B99" s="42">
        <v>46</v>
      </c>
      <c r="C99" s="728" t="str">
        <f t="shared" si="4"/>
        <v/>
      </c>
      <c r="D99" s="783"/>
      <c r="E99" s="254"/>
      <c r="F99" s="254"/>
      <c r="G99" s="608"/>
      <c r="H99" s="609"/>
      <c r="I99" s="609"/>
      <c r="J99" s="255">
        <f t="shared" si="9"/>
        <v>0</v>
      </c>
      <c r="K99" s="732" t="str">
        <f t="shared" si="5"/>
        <v/>
      </c>
      <c r="L99" s="592"/>
      <c r="M99" s="608"/>
      <c r="N99" s="608"/>
      <c r="O99" s="608"/>
      <c r="P99" s="609"/>
      <c r="Q99" s="609"/>
      <c r="R99" s="255">
        <f t="shared" si="10"/>
        <v>0</v>
      </c>
      <c r="S99" s="615">
        <f t="shared" si="6"/>
        <v>5</v>
      </c>
      <c r="T99" s="615">
        <f t="shared" si="11"/>
        <v>5</v>
      </c>
      <c r="U99" s="615">
        <f t="shared" si="7"/>
        <v>5</v>
      </c>
      <c r="V99" s="615" t="str">
        <f t="shared" si="12"/>
        <v>×</v>
      </c>
      <c r="W99" s="615" t="str">
        <f t="shared" si="8"/>
        <v>○</v>
      </c>
    </row>
    <row r="100" spans="2:23" ht="36" customHeight="1">
      <c r="B100" s="42">
        <v>47</v>
      </c>
      <c r="C100" s="728" t="str">
        <f t="shared" si="4"/>
        <v/>
      </c>
      <c r="D100" s="783"/>
      <c r="E100" s="254"/>
      <c r="F100" s="254"/>
      <c r="G100" s="608"/>
      <c r="H100" s="609"/>
      <c r="I100" s="609"/>
      <c r="J100" s="255">
        <f t="shared" si="9"/>
        <v>0</v>
      </c>
      <c r="K100" s="732" t="str">
        <f t="shared" si="5"/>
        <v/>
      </c>
      <c r="L100" s="592"/>
      <c r="M100" s="608"/>
      <c r="N100" s="608"/>
      <c r="O100" s="608"/>
      <c r="P100" s="609"/>
      <c r="Q100" s="609"/>
      <c r="R100" s="255">
        <f t="shared" si="10"/>
        <v>0</v>
      </c>
      <c r="S100" s="615">
        <f t="shared" si="6"/>
        <v>5</v>
      </c>
      <c r="T100" s="615">
        <f t="shared" si="11"/>
        <v>5</v>
      </c>
      <c r="U100" s="615">
        <f t="shared" si="7"/>
        <v>5</v>
      </c>
      <c r="V100" s="615" t="str">
        <f t="shared" si="12"/>
        <v>×</v>
      </c>
      <c r="W100" s="615" t="str">
        <f t="shared" si="8"/>
        <v>○</v>
      </c>
    </row>
    <row r="101" spans="2:23" ht="36" customHeight="1">
      <c r="B101" s="42">
        <v>48</v>
      </c>
      <c r="C101" s="728" t="str">
        <f t="shared" si="4"/>
        <v/>
      </c>
      <c r="D101" s="783"/>
      <c r="E101" s="254"/>
      <c r="F101" s="254"/>
      <c r="G101" s="608"/>
      <c r="H101" s="609"/>
      <c r="I101" s="609"/>
      <c r="J101" s="255">
        <f t="shared" si="9"/>
        <v>0</v>
      </c>
      <c r="K101" s="732" t="str">
        <f t="shared" si="5"/>
        <v/>
      </c>
      <c r="L101" s="592"/>
      <c r="M101" s="608"/>
      <c r="N101" s="608"/>
      <c r="O101" s="608"/>
      <c r="P101" s="609"/>
      <c r="Q101" s="609"/>
      <c r="R101" s="255">
        <f t="shared" si="10"/>
        <v>0</v>
      </c>
      <c r="S101" s="615">
        <f t="shared" si="6"/>
        <v>5</v>
      </c>
      <c r="T101" s="615">
        <f t="shared" si="11"/>
        <v>5</v>
      </c>
      <c r="U101" s="615">
        <f t="shared" si="7"/>
        <v>5</v>
      </c>
      <c r="V101" s="615" t="str">
        <f t="shared" si="12"/>
        <v>×</v>
      </c>
      <c r="W101" s="615" t="str">
        <f t="shared" si="8"/>
        <v>○</v>
      </c>
    </row>
    <row r="102" spans="2:23" ht="36" customHeight="1">
      <c r="B102" s="42">
        <v>49</v>
      </c>
      <c r="C102" s="728" t="str">
        <f t="shared" si="4"/>
        <v/>
      </c>
      <c r="D102" s="783"/>
      <c r="E102" s="254"/>
      <c r="F102" s="254"/>
      <c r="G102" s="608"/>
      <c r="H102" s="609"/>
      <c r="I102" s="609"/>
      <c r="J102" s="255">
        <f t="shared" si="9"/>
        <v>0</v>
      </c>
      <c r="K102" s="732" t="str">
        <f t="shared" si="5"/>
        <v/>
      </c>
      <c r="L102" s="592"/>
      <c r="M102" s="608"/>
      <c r="N102" s="608"/>
      <c r="O102" s="608"/>
      <c r="P102" s="609"/>
      <c r="Q102" s="609"/>
      <c r="R102" s="255">
        <f t="shared" si="10"/>
        <v>0</v>
      </c>
      <c r="S102" s="615">
        <f t="shared" si="6"/>
        <v>5</v>
      </c>
      <c r="T102" s="615">
        <f t="shared" si="11"/>
        <v>5</v>
      </c>
      <c r="U102" s="615">
        <f t="shared" si="7"/>
        <v>5</v>
      </c>
      <c r="V102" s="615" t="str">
        <f t="shared" si="12"/>
        <v>×</v>
      </c>
      <c r="W102" s="615" t="str">
        <f t="shared" si="8"/>
        <v>○</v>
      </c>
    </row>
    <row r="103" spans="2:23" ht="36" customHeight="1">
      <c r="B103" s="42">
        <v>50</v>
      </c>
      <c r="C103" s="728" t="str">
        <f t="shared" si="4"/>
        <v/>
      </c>
      <c r="D103" s="783"/>
      <c r="E103" s="254"/>
      <c r="F103" s="254"/>
      <c r="G103" s="608"/>
      <c r="H103" s="609"/>
      <c r="I103" s="609"/>
      <c r="J103" s="255">
        <f t="shared" si="9"/>
        <v>0</v>
      </c>
      <c r="K103" s="732" t="str">
        <f t="shared" si="5"/>
        <v/>
      </c>
      <c r="L103" s="592"/>
      <c r="M103" s="608"/>
      <c r="N103" s="608"/>
      <c r="O103" s="608"/>
      <c r="P103" s="609"/>
      <c r="Q103" s="609"/>
      <c r="R103" s="255">
        <f t="shared" si="10"/>
        <v>0</v>
      </c>
      <c r="S103" s="615">
        <f t="shared" si="6"/>
        <v>5</v>
      </c>
      <c r="T103" s="615">
        <f t="shared" si="11"/>
        <v>5</v>
      </c>
      <c r="U103" s="615">
        <f t="shared" si="7"/>
        <v>5</v>
      </c>
      <c r="V103" s="615" t="str">
        <f t="shared" si="12"/>
        <v>×</v>
      </c>
      <c r="W103" s="615" t="str">
        <f t="shared" si="8"/>
        <v>○</v>
      </c>
    </row>
    <row r="104" spans="2:23" ht="36.75" customHeight="1">
      <c r="C104" s="246"/>
      <c r="D104" s="15"/>
      <c r="E104" s="192"/>
      <c r="F104" s="192"/>
      <c r="G104" s="192"/>
      <c r="H104" s="726" t="s">
        <v>992</v>
      </c>
      <c r="I104" s="247"/>
      <c r="J104" s="245">
        <f>SUM(J54:J103)</f>
        <v>0</v>
      </c>
      <c r="K104" s="724"/>
      <c r="L104" s="725"/>
      <c r="M104" s="192"/>
      <c r="N104" s="192"/>
      <c r="O104" s="192"/>
      <c r="P104" s="726" t="s">
        <v>992</v>
      </c>
      <c r="Q104" s="247"/>
      <c r="R104" s="245">
        <f>SUM(R54:R103)</f>
        <v>0</v>
      </c>
    </row>
    <row r="105" spans="2:23" ht="36.75" customHeight="1"/>
    <row r="106" spans="2:23" ht="13.5">
      <c r="B106"/>
      <c r="C106"/>
      <c r="D106"/>
      <c r="E106"/>
      <c r="F106"/>
      <c r="G106"/>
      <c r="H106"/>
      <c r="I106"/>
      <c r="J106"/>
      <c r="K106"/>
      <c r="L106"/>
      <c r="M106"/>
      <c r="N106"/>
      <c r="O106"/>
      <c r="P106"/>
      <c r="Q106"/>
      <c r="R106"/>
      <c r="S106"/>
      <c r="T106"/>
      <c r="U106"/>
      <c r="V106"/>
      <c r="W106"/>
    </row>
    <row r="107" spans="2:23" customFormat="1" ht="9.75" customHeight="1"/>
    <row r="108" spans="2:23" customFormat="1" ht="13.5"/>
    <row r="109" spans="2:23" customFormat="1" ht="13.5"/>
    <row r="110" spans="2:23" customFormat="1" ht="13.5"/>
    <row r="111" spans="2:23" customFormat="1" ht="13.5"/>
    <row r="112" spans="2:23" customFormat="1" ht="13.5"/>
    <row r="113" customFormat="1" ht="13.5"/>
    <row r="114" customFormat="1" ht="13.5"/>
    <row r="115" customFormat="1" ht="13.5"/>
    <row r="116" customFormat="1" ht="13.5"/>
    <row r="117" customFormat="1" ht="13.5"/>
    <row r="118" customFormat="1" ht="13.5"/>
    <row r="119" customFormat="1" ht="13.5"/>
    <row r="120" customFormat="1" ht="13.5"/>
    <row r="121" customFormat="1" ht="13.5"/>
    <row r="122" customFormat="1" ht="13.5"/>
    <row r="123" customFormat="1" ht="13.5"/>
    <row r="124" customFormat="1" ht="13.5"/>
    <row r="125" customFormat="1" ht="18" customHeight="1"/>
    <row r="126" customFormat="1" ht="13.5"/>
    <row r="127" customFormat="1" ht="13.5"/>
    <row r="128" customFormat="1" ht="13.5"/>
    <row r="129" customFormat="1" ht="13.5"/>
    <row r="130" customFormat="1" ht="13.5"/>
    <row r="131" customFormat="1" ht="13.5"/>
    <row r="132" customFormat="1" ht="13.5"/>
    <row r="133" customFormat="1" ht="13.5"/>
    <row r="134" customFormat="1" ht="13.5"/>
    <row r="135" customFormat="1" ht="13.5"/>
    <row r="136" customFormat="1" ht="13.5"/>
    <row r="137" customFormat="1" ht="13.5"/>
    <row r="138" customFormat="1" ht="13.5"/>
    <row r="139" customFormat="1" ht="13.5"/>
    <row r="140" customFormat="1" ht="13.5"/>
    <row r="141" customFormat="1" ht="13.5"/>
    <row r="142" customFormat="1" ht="13.5"/>
    <row r="143" customFormat="1" ht="12" customHeight="1"/>
    <row r="144" customFormat="1" ht="12" customHeight="1"/>
    <row r="145" spans="2:23" customFormat="1" ht="12" customHeight="1"/>
    <row r="146" spans="2:23" customFormat="1" ht="12" customHeight="1"/>
    <row r="147" spans="2:23" customFormat="1" ht="12" customHeight="1"/>
    <row r="148" spans="2:23" customFormat="1" ht="12" customHeight="1">
      <c r="E148" s="42"/>
      <c r="S148" s="42"/>
      <c r="T148" s="42"/>
    </row>
    <row r="149" spans="2:23" customFormat="1" ht="12" customHeight="1"/>
    <row r="150" spans="2:23" customFormat="1" ht="12" customHeight="1"/>
    <row r="151" spans="2:23" customFormat="1" ht="12" customHeight="1">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row>
    <row r="152" spans="2:23" s="237" customFormat="1" ht="9.75" customHeight="1">
      <c r="B152" s="42"/>
      <c r="C152" s="42"/>
      <c r="D152" s="42"/>
      <c r="E152" s="42"/>
      <c r="F152" s="42"/>
      <c r="G152" s="42"/>
      <c r="H152" s="42"/>
      <c r="I152" s="42"/>
      <c r="J152" s="42"/>
      <c r="K152" s="42"/>
      <c r="L152" s="42"/>
      <c r="M152" s="42"/>
      <c r="N152" s="42"/>
      <c r="O152" s="42"/>
      <c r="P152" s="42"/>
      <c r="Q152" s="42"/>
      <c r="R152" s="42"/>
      <c r="S152" s="42"/>
      <c r="T152" s="42"/>
      <c r="U152" s="42"/>
      <c r="V152" s="42"/>
      <c r="W152" s="42"/>
    </row>
  </sheetData>
  <sheetProtection algorithmName="SHA-512" hashValue="u9AtX03b3N0p63l0qsc4Q6bTRpXuIdyD9Lbr6zLpG6ilf6UUwxkSkLnE22oRgyiSzpaDn1uLp/1+/roUvL5q0Q==" saltValue="MupTpqxLhTAo/QQdbb4Nuw==" spinCount="100000" sheet="1" objects="1" scenarios="1"/>
  <mergeCells count="15">
    <mergeCell ref="E3:H3"/>
    <mergeCell ref="B3:C3"/>
    <mergeCell ref="B6:M8"/>
    <mergeCell ref="S52:S53"/>
    <mergeCell ref="U52:U53"/>
    <mergeCell ref="W52:W53"/>
    <mergeCell ref="B12:D12"/>
    <mergeCell ref="H10:M12"/>
    <mergeCell ref="E13:E14"/>
    <mergeCell ref="F13:F14"/>
    <mergeCell ref="G13:M14"/>
    <mergeCell ref="C52:J52"/>
    <mergeCell ref="K52:R52"/>
    <mergeCell ref="V52:V53"/>
    <mergeCell ref="T52:T53"/>
  </mergeCells>
  <phoneticPr fontId="5"/>
  <dataValidations count="3">
    <dataValidation type="whole" operator="greaterThanOrEqual" allowBlank="1" showInputMessage="1" showErrorMessage="1" errorTitle="整数値を入力" error="整数値を入力してください。" sqref="P54:Q103 H54:I103" xr:uid="{00000000-0002-0000-0600-000000000000}">
      <formula1>0</formula1>
    </dataValidation>
    <dataValidation type="list" allowBlank="1" showInputMessage="1" showErrorMessage="1" sqref="D54:D103" xr:uid="{00000000-0002-0000-0600-000001000000}">
      <formula1>二次製品</formula1>
    </dataValidation>
    <dataValidation type="list" showInputMessage="1" showErrorMessage="1" promptTitle="分からない場合" prompt="不明を選択してください。" sqref="L54:L103" xr:uid="{00000000-0002-0000-0600-000002000000}">
      <formula1>不明</formula1>
    </dataValidation>
  </dataValidations>
  <pageMargins left="0.39370078740157483" right="0.15748031496062992" top="0.59055118110236227" bottom="0.23622047244094491" header="0.31496062992125984" footer="0.15748031496062992"/>
  <pageSetup paperSize="8" scale="60" orientation="portrait" r:id="rId1"/>
  <headerFooter alignWithMargins="0">
    <oddHeader>&amp;L&amp;A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indexed="44"/>
  </sheetPr>
  <dimension ref="A1:AA128"/>
  <sheetViews>
    <sheetView showGridLines="0" topLeftCell="A2" zoomScaleNormal="100" zoomScaleSheetLayoutView="115" workbookViewId="0"/>
  </sheetViews>
  <sheetFormatPr defaultRowHeight="12"/>
  <cols>
    <col min="1" max="2" width="3.125" style="42" customWidth="1"/>
    <col min="3" max="3" width="21" style="42" customWidth="1"/>
    <col min="4" max="4" width="7.875" style="42" customWidth="1"/>
    <col min="5" max="5" width="6.75" style="42" customWidth="1"/>
    <col min="6" max="6" width="5" style="42" customWidth="1"/>
    <col min="7" max="7" width="20" style="42" customWidth="1"/>
    <col min="8" max="8" width="12.625" style="42" customWidth="1"/>
    <col min="9" max="10" width="11.375" style="42" customWidth="1"/>
    <col min="11" max="11" width="2.5" style="42" customWidth="1"/>
    <col min="12" max="13" width="11.625" style="42" customWidth="1"/>
    <col min="14" max="14" width="6.75" style="42" bestFit="1" customWidth="1"/>
    <col min="15" max="15" width="13.75" style="42" customWidth="1"/>
    <col min="16" max="16384" width="9" style="42"/>
  </cols>
  <sheetData>
    <row r="1" spans="1:8" hidden="1">
      <c r="A1" s="604" t="s">
        <v>534</v>
      </c>
      <c r="B1" s="604">
        <f>COUNTIF($E$10:$E$21,"※")</f>
        <v>1</v>
      </c>
      <c r="C1" s="605" t="s">
        <v>994</v>
      </c>
      <c r="D1" s="604">
        <f>COUNTIF($E$10:$E$21,"E")</f>
        <v>0</v>
      </c>
    </row>
    <row r="2" spans="1:8" ht="27" customHeight="1"/>
    <row r="3" spans="1:8" ht="24" customHeight="1">
      <c r="B3" s="1716" t="s">
        <v>602</v>
      </c>
      <c r="C3" s="1798"/>
      <c r="D3" s="1754" t="str">
        <f>IF(工事情報!G4="","",工事情報!G4)</f>
        <v/>
      </c>
      <c r="E3" s="1705"/>
      <c r="F3" s="1705"/>
      <c r="G3" s="1705"/>
      <c r="H3" s="1706"/>
    </row>
    <row r="4" spans="1:8" ht="30" customHeight="1"/>
    <row r="5" spans="1:8" s="240" customFormat="1" ht="17.25">
      <c r="B5" s="240" t="s">
        <v>279</v>
      </c>
    </row>
    <row r="6" spans="1:8" ht="24" customHeight="1">
      <c r="B6" s="1887" t="s">
        <v>737</v>
      </c>
      <c r="C6" s="1888"/>
      <c r="D6" s="1888"/>
      <c r="E6" s="1888"/>
      <c r="F6" s="1888"/>
      <c r="G6" s="1889"/>
    </row>
    <row r="7" spans="1:8" ht="24" customHeight="1">
      <c r="B7" s="1890"/>
      <c r="C7" s="1891"/>
      <c r="D7" s="1891"/>
      <c r="E7" s="1891"/>
      <c r="F7" s="1891"/>
      <c r="G7" s="1892"/>
    </row>
    <row r="8" spans="1:8" ht="24" customHeight="1">
      <c r="B8" s="1893"/>
      <c r="C8" s="1894"/>
      <c r="D8" s="1894"/>
      <c r="E8" s="1894"/>
      <c r="F8" s="1894"/>
      <c r="G8" s="1895"/>
    </row>
    <row r="9" spans="1:8" s="237" customFormat="1" ht="30" customHeight="1">
      <c r="B9" s="237" t="s">
        <v>122</v>
      </c>
      <c r="C9" s="244"/>
      <c r="D9" s="244"/>
    </row>
    <row r="10" spans="1:8" s="237" customFormat="1" ht="30" customHeight="1">
      <c r="C10" s="1900"/>
      <c r="D10" s="1901"/>
      <c r="E10" s="257" t="str">
        <f>IF($F$10="","※","")</f>
        <v>※</v>
      </c>
      <c r="F10" s="1902"/>
      <c r="G10" s="1903"/>
    </row>
    <row r="11" spans="1:8" s="237" customFormat="1" ht="14.25">
      <c r="C11" s="244"/>
      <c r="D11" s="244"/>
      <c r="E11" s="244"/>
      <c r="F11" s="238"/>
      <c r="H11" s="42"/>
    </row>
    <row r="12" spans="1:8" s="237" customFormat="1" ht="30" customHeight="1">
      <c r="B12" s="260" t="str">
        <f>IF(F10&lt;&gt;"行わない","以下の項目に答えてください。 ","以下の項目は、入力不要")</f>
        <v xml:space="preserve">以下の項目に答えてください。 </v>
      </c>
      <c r="E12" s="244"/>
      <c r="F12" s="238"/>
      <c r="H12" s="42"/>
    </row>
    <row r="13" spans="1:8" s="237" customFormat="1" ht="30" customHeight="1">
      <c r="B13" s="237" t="s">
        <v>283</v>
      </c>
      <c r="C13" s="239"/>
      <c r="D13" s="239"/>
      <c r="E13" s="244"/>
      <c r="F13" s="238"/>
      <c r="H13" s="42"/>
    </row>
    <row r="14" spans="1:8" s="237" customFormat="1" ht="30" customHeight="1">
      <c r="C14" s="256" t="s">
        <v>182</v>
      </c>
      <c r="D14" s="239"/>
      <c r="E14" s="244"/>
      <c r="F14" s="238"/>
      <c r="H14" s="42"/>
    </row>
    <row r="15" spans="1:8" s="237" customFormat="1" ht="30" customHeight="1">
      <c r="B15" s="237" t="s">
        <v>282</v>
      </c>
      <c r="C15" s="256" t="s">
        <v>285</v>
      </c>
      <c r="D15" s="256"/>
    </row>
    <row r="16" spans="1:8" s="237" customFormat="1" ht="30" customHeight="1">
      <c r="C16" s="242"/>
      <c r="D16" s="242"/>
      <c r="E16" s="789" t="str">
        <f>IF(AND($F$10="行った",F16=""),"※",IF(AND($F$10&lt;&gt;"行った",F16&lt;&gt;""),"E",IF(AND(F$10="行った",F$16="×",F$17="×",F$18="×",F$19="×"),"E","")))</f>
        <v/>
      </c>
      <c r="F16" s="770"/>
      <c r="G16" s="771" t="s">
        <v>599</v>
      </c>
      <c r="H16" s="772"/>
    </row>
    <row r="17" spans="1:27" s="239" customFormat="1" ht="30" customHeight="1">
      <c r="C17" s="242"/>
      <c r="D17" s="242"/>
      <c r="E17" s="790" t="str">
        <f t="shared" ref="E17:E19" si="0">IF(AND($F$10="行った",F17=""),"※",IF(AND($F$10&lt;&gt;"行った",F17&lt;&gt;""),"E",IF(AND(F$10="行った",F$16="×",F$17="×",F$18="×",F$19="×"),"E","")))</f>
        <v/>
      </c>
      <c r="F17" s="773"/>
      <c r="G17" s="774" t="s">
        <v>600</v>
      </c>
      <c r="H17" s="775"/>
      <c r="I17" s="238"/>
      <c r="J17" s="238"/>
      <c r="K17" s="237"/>
    </row>
    <row r="18" spans="1:27" s="239" customFormat="1" ht="30" customHeight="1">
      <c r="C18" s="242"/>
      <c r="D18" s="242"/>
      <c r="E18" s="790" t="str">
        <f t="shared" si="0"/>
        <v/>
      </c>
      <c r="F18" s="773"/>
      <c r="G18" s="774" t="s">
        <v>601</v>
      </c>
      <c r="H18" s="775"/>
      <c r="K18" s="237"/>
    </row>
    <row r="19" spans="1:27" s="237" customFormat="1" ht="30" customHeight="1">
      <c r="C19" s="242"/>
      <c r="D19" s="242"/>
      <c r="E19" s="790" t="str">
        <f t="shared" si="0"/>
        <v/>
      </c>
      <c r="F19" s="776"/>
      <c r="G19" s="1899" t="s">
        <v>475</v>
      </c>
      <c r="H19" s="1881"/>
      <c r="M19" s="238"/>
    </row>
    <row r="20" spans="1:27" s="237" customFormat="1" ht="8.25" customHeight="1">
      <c r="C20" s="242"/>
      <c r="D20" s="242"/>
      <c r="E20"/>
      <c r="F20"/>
      <c r="G20"/>
      <c r="M20" s="238"/>
    </row>
    <row r="21" spans="1:27" s="237" customFormat="1" ht="44.25" customHeight="1">
      <c r="C21" s="258"/>
      <c r="D21" s="259"/>
      <c r="E21" s="791" t="str">
        <f>IF(AND(F19="○",F21=""),"※",IF(AND(F19="×",F21&lt;&gt;""),"E",""))</f>
        <v/>
      </c>
      <c r="F21" s="1896"/>
      <c r="G21" s="1897"/>
      <c r="H21" s="1898"/>
      <c r="M21" s="238"/>
    </row>
    <row r="23" spans="1:27" s="237" customFormat="1" ht="14.25">
      <c r="M23" s="238"/>
    </row>
    <row r="24" spans="1:27">
      <c r="C24" s="239"/>
      <c r="D24" s="239"/>
      <c r="E24" s="239"/>
    </row>
    <row r="25" spans="1:27">
      <c r="C25" s="239"/>
      <c r="D25" s="239"/>
      <c r="E25" s="239"/>
    </row>
    <row r="26" spans="1:27">
      <c r="C26" s="239"/>
      <c r="D26" s="239"/>
      <c r="E26" s="239"/>
    </row>
    <row r="30" spans="1:27" ht="13.5">
      <c r="A30" s="229"/>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row>
    <row r="31" spans="1:27" ht="13.5">
      <c r="A31" s="229"/>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row>
    <row r="32" spans="1:27" ht="13.5">
      <c r="A32" s="229"/>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row>
    <row r="33" spans="1:27" ht="13.5">
      <c r="A33" s="229"/>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row>
    <row r="34" spans="1:27" ht="13.5">
      <c r="A34" s="229"/>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row>
    <row r="35" spans="1:27" ht="13.5">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row>
    <row r="36" spans="1:27" ht="13.5">
      <c r="A36" s="229"/>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row>
    <row r="37" spans="1:27" ht="13.5">
      <c r="A37" s="229"/>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row>
    <row r="38" spans="1:27" ht="13.5">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row>
    <row r="39" spans="1:27" ht="13.5">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row>
    <row r="40" spans="1:27" ht="13.5">
      <c r="A40" s="229"/>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row>
    <row r="41" spans="1:27" ht="13.5">
      <c r="A41" s="229"/>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row>
    <row r="42" spans="1:27" ht="13.5">
      <c r="A42" s="229"/>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row>
    <row r="43" spans="1:27" ht="13.5">
      <c r="A43" s="229"/>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row>
    <row r="44" spans="1:27" ht="13.5">
      <c r="A44" s="229"/>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row>
    <row r="45" spans="1:27" ht="13.5">
      <c r="A45" s="229"/>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row>
    <row r="46" spans="1:27" ht="13.5">
      <c r="A46" s="229"/>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row>
    <row r="47" spans="1:27" ht="13.5">
      <c r="A47" s="229"/>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row>
    <row r="48" spans="1:27" ht="13.5">
      <c r="A48" s="229"/>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row>
    <row r="49" spans="1:27" ht="13.5">
      <c r="A49" s="229"/>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row>
    <row r="50" spans="1:27" ht="13.5">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row>
    <row r="51" spans="1:27" ht="13.5">
      <c r="A51" s="229"/>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row>
    <row r="52" spans="1:27" ht="13.5">
      <c r="A52" s="229"/>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row>
    <row r="53" spans="1:27" ht="13.5">
      <c r="A53" s="229"/>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row>
    <row r="54" spans="1:27" ht="13.5">
      <c r="A54" s="229"/>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row>
    <row r="55" spans="1:27" ht="13.5">
      <c r="A55" s="229"/>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row>
    <row r="56" spans="1:27" ht="13.5">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row>
    <row r="57" spans="1:27" ht="13.5">
      <c r="A57" s="229"/>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row>
    <row r="58" spans="1:27" ht="13.5">
      <c r="A58" s="229"/>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row>
    <row r="59" spans="1:27" ht="13.5">
      <c r="A59" s="229"/>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row>
    <row r="60" spans="1:27" ht="13.5">
      <c r="A60" s="229"/>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row>
    <row r="61" spans="1:27" ht="13.5">
      <c r="A61" s="229"/>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row>
    <row r="62" spans="1:27" ht="13.5">
      <c r="A62" s="229"/>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row>
    <row r="63" spans="1:27" ht="13.5">
      <c r="A63" s="229"/>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row>
    <row r="64" spans="1:27" ht="13.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row>
    <row r="65" spans="1:27" ht="13.5">
      <c r="A65" s="229"/>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row>
    <row r="66" spans="1:27" ht="13.5">
      <c r="A66" s="229"/>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row>
    <row r="67" spans="1:27" ht="13.5">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row>
    <row r="68" spans="1:27" ht="13.5">
      <c r="A68" s="229"/>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row>
    <row r="69" spans="1:27" ht="13.5">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row>
    <row r="70" spans="1:27" ht="13.5">
      <c r="A70" s="229"/>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row>
    <row r="71" spans="1:27" ht="13.5">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row>
    <row r="72" spans="1:27" ht="13.5">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row>
    <row r="73" spans="1:27" ht="13.5">
      <c r="A73" s="229"/>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row>
    <row r="74" spans="1:27" ht="13.5">
      <c r="A74" s="229"/>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row>
    <row r="75" spans="1:27" ht="13.5">
      <c r="A75" s="229"/>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row>
    <row r="76" spans="1:27" ht="13.5">
      <c r="A76" s="229"/>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row>
    <row r="77" spans="1:27" ht="13.5">
      <c r="A77" s="229"/>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row>
    <row r="78" spans="1:27" ht="13.5">
      <c r="A78" s="229"/>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row>
    <row r="79" spans="1:27" ht="13.5">
      <c r="A79" s="229"/>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row>
    <row r="80" spans="1:27" ht="13.5">
      <c r="A80" s="229"/>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row>
    <row r="81" spans="1:27" ht="13.5">
      <c r="A81" s="229"/>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row>
    <row r="82" spans="1:27" ht="13.5">
      <c r="A82" s="229"/>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row>
    <row r="83" spans="1:27" ht="13.5" hidden="1">
      <c r="A83" s="229"/>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row>
    <row r="84" spans="1:27" ht="13.5" hidden="1">
      <c r="A84" s="229"/>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row>
    <row r="85" spans="1:27" s="229" customFormat="1" ht="13.5" hidden="1"/>
    <row r="86" spans="1:27" s="229" customFormat="1" ht="13.5" hidden="1"/>
    <row r="87" spans="1:27" s="229" customFormat="1" ht="13.5"/>
    <row r="88" spans="1:27" s="229" customFormat="1" ht="13.5"/>
    <row r="89" spans="1:27" s="229" customFormat="1" ht="13.5"/>
    <row r="90" spans="1:27" s="229" customFormat="1" ht="13.5"/>
    <row r="91" spans="1:27" s="229" customFormat="1" ht="13.5"/>
    <row r="92" spans="1:27" s="229" customFormat="1" ht="13.5"/>
    <row r="93" spans="1:27" s="229" customFormat="1" ht="13.5"/>
    <row r="94" spans="1:27" s="229" customFormat="1" ht="13.5"/>
    <row r="95" spans="1:27" s="229" customFormat="1" ht="13.5"/>
    <row r="96" spans="1:27" s="229" customFormat="1" ht="13.5"/>
    <row r="97" s="229" customFormat="1" ht="13.5"/>
    <row r="98" s="229" customFormat="1" ht="13.5"/>
    <row r="99" s="229" customFormat="1" ht="13.5"/>
    <row r="100" s="229" customFormat="1" ht="13.5"/>
    <row r="101" s="229" customFormat="1" ht="18" customHeight="1"/>
    <row r="102" s="229" customFormat="1" ht="13.5"/>
    <row r="103" s="229" customFormat="1" ht="13.5"/>
    <row r="104" s="229" customFormat="1" ht="13.5"/>
    <row r="105" s="229" customFormat="1" ht="13.5"/>
    <row r="106" s="229" customFormat="1" ht="13.5"/>
    <row r="107" s="229" customFormat="1" ht="13.5"/>
    <row r="108" s="229" customFormat="1" ht="13.5"/>
    <row r="109" s="229" customFormat="1" ht="13.5"/>
    <row r="110" s="229" customFormat="1" ht="13.5"/>
    <row r="111" s="229" customFormat="1" ht="13.5"/>
    <row r="112" s="229" customFormat="1" ht="13.5"/>
    <row r="113" spans="1:27" s="229" customFormat="1" ht="13.5"/>
    <row r="114" spans="1:27" s="229" customFormat="1" ht="13.5"/>
    <row r="115" spans="1:27" s="229" customFormat="1" ht="13.5"/>
    <row r="116" spans="1:27" s="229" customFormat="1" ht="13.5"/>
    <row r="117" spans="1:27" s="229" customFormat="1" ht="13.5"/>
    <row r="118" spans="1:27" s="229" customFormat="1" ht="13.5"/>
    <row r="119" spans="1:27" s="229" customFormat="1" ht="12" customHeight="1"/>
    <row r="120" spans="1:27" s="229" customFormat="1" ht="12" customHeight="1"/>
    <row r="121" spans="1:27" s="229" customFormat="1" ht="12" customHeight="1"/>
    <row r="122" spans="1:27" s="229" customFormat="1" ht="12" customHeight="1"/>
    <row r="123" spans="1:27" s="229" customFormat="1" ht="12" customHeight="1"/>
    <row r="124" spans="1:27" s="229" customFormat="1" ht="12" customHeight="1"/>
    <row r="125" spans="1:27" s="229" customFormat="1" ht="12" customHeight="1"/>
    <row r="126" spans="1:27" s="229" customFormat="1" ht="12" customHeight="1"/>
    <row r="127" spans="1:27" s="229" customFormat="1" ht="12" customHeight="1"/>
    <row r="128" spans="1:27" s="237" customFormat="1" ht="9.75" customHeight="1">
      <c r="A128" s="229"/>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row>
  </sheetData>
  <sheetProtection algorithmName="SHA-512" hashValue="7lD7q3UcaRg0GtATJwnSiV8/oa5M7b3JmKVMDW5qXKUqMjvnwVL4t0U/scWCP/JC7Mx2Aohsng+5tLPjUuY7JA==" saltValue="b4F8k5uAPP4fDKCYKSx9Yw==" spinCount="100000" sheet="1" objects="1" scenarios="1"/>
  <mergeCells count="7">
    <mergeCell ref="B3:C3"/>
    <mergeCell ref="D3:H3"/>
    <mergeCell ref="F21:H21"/>
    <mergeCell ref="G19:H19"/>
    <mergeCell ref="C10:D10"/>
    <mergeCell ref="B6:G8"/>
    <mergeCell ref="F10:G10"/>
  </mergeCells>
  <phoneticPr fontId="5"/>
  <conditionalFormatting sqref="B12">
    <cfRule type="cellIs" dxfId="11" priority="1" stopIfTrue="1" operator="equal">
      <formula>"以下の項目は、入力不要"</formula>
    </cfRule>
  </conditionalFormatting>
  <dataValidations count="2">
    <dataValidation type="list" allowBlank="1" showInputMessage="1" showErrorMessage="1" sqref="F10:G10" xr:uid="{00000000-0002-0000-0700-000000000000}">
      <formula1>補修</formula1>
    </dataValidation>
    <dataValidation type="list" allowBlank="1" showInputMessage="1" showErrorMessage="1" sqref="F16:F19" xr:uid="{00000000-0002-0000-0700-000001000000}">
      <formula1>補償方法選択</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2927-E81E-4A37-8000-ED66AB56C54B}">
  <sheetPr>
    <tabColor rgb="FF99CCFF"/>
  </sheetPr>
  <dimension ref="A1:M89"/>
  <sheetViews>
    <sheetView showGridLines="0" topLeftCell="A2" zoomScaleNormal="100" zoomScaleSheetLayoutView="100" workbookViewId="0"/>
  </sheetViews>
  <sheetFormatPr defaultRowHeight="13.5"/>
  <cols>
    <col min="1" max="1" width="4.375" style="1250" customWidth="1"/>
    <col min="2" max="2" width="4.75" style="1250" customWidth="1"/>
    <col min="3" max="3" width="16.25" style="1248" customWidth="1"/>
    <col min="4" max="4" width="21" style="1248" customWidth="1"/>
    <col min="5" max="5" width="40.875" style="1248" customWidth="1"/>
    <col min="6" max="6" width="6" style="1248" customWidth="1"/>
    <col min="7" max="7" width="32.875" style="1248" customWidth="1"/>
    <col min="8" max="8" width="4.125" style="1248" customWidth="1"/>
    <col min="9" max="9" width="32.875" style="1248" customWidth="1"/>
    <col min="10" max="10" width="8" style="1248" hidden="1" customWidth="1"/>
    <col min="11" max="11" width="19.625" style="1248" customWidth="1"/>
    <col min="12" max="13" width="9" style="1248"/>
    <col min="14" max="16384" width="9" style="1250"/>
  </cols>
  <sheetData>
    <row r="1" spans="1:13" ht="13.5" hidden="1" customHeight="1">
      <c r="A1" s="604" t="s">
        <v>119</v>
      </c>
      <c r="B1" s="604">
        <f>COUNTIF(F9:F83,"※")</f>
        <v>0</v>
      </c>
      <c r="C1" s="605" t="s">
        <v>535</v>
      </c>
      <c r="D1" s="604">
        <f>COUNTIF(F9:F83,"E")</f>
        <v>0</v>
      </c>
      <c r="G1" s="1223"/>
      <c r="H1" s="1223"/>
      <c r="I1" s="1223"/>
      <c r="J1" s="1249"/>
      <c r="K1" s="1223"/>
    </row>
    <row r="2" spans="1:13" ht="15.75" customHeight="1">
      <c r="A2" s="1223"/>
      <c r="B2" s="1223"/>
      <c r="C2" s="1223"/>
      <c r="D2" s="1223"/>
      <c r="E2" s="1223"/>
      <c r="F2" s="1223"/>
      <c r="G2" s="1223"/>
      <c r="H2" s="1223"/>
      <c r="I2" s="1623"/>
      <c r="J2" s="1223"/>
      <c r="K2" s="1623"/>
    </row>
    <row r="3" spans="1:13" ht="24" customHeight="1">
      <c r="A3" s="1716" t="s">
        <v>602</v>
      </c>
      <c r="B3" s="1904"/>
      <c r="C3" s="1798"/>
      <c r="D3" s="1905" t="str">
        <f>IF(工事情報!G4="","",工事情報!G4)</f>
        <v/>
      </c>
      <c r="E3" s="1906"/>
      <c r="F3" s="1906"/>
      <c r="G3" s="1907"/>
      <c r="H3" s="1025"/>
      <c r="I3" s="1222"/>
      <c r="J3" s="1222"/>
    </row>
    <row r="4" spans="1:13" ht="30" customHeight="1"/>
    <row r="5" spans="1:13">
      <c r="A5" s="1251"/>
      <c r="B5" s="1252" t="s">
        <v>1915</v>
      </c>
      <c r="C5" s="1253"/>
      <c r="D5" s="1253"/>
      <c r="E5" s="1253"/>
      <c r="F5" s="1253"/>
      <c r="G5" s="1253"/>
      <c r="H5" s="1253"/>
    </row>
    <row r="6" spans="1:13">
      <c r="A6" s="1254"/>
      <c r="B6" s="1255" t="s">
        <v>1916</v>
      </c>
      <c r="C6" s="1253"/>
      <c r="D6" s="1253"/>
      <c r="E6" s="1253"/>
      <c r="F6" s="1253"/>
      <c r="G6" s="1253"/>
      <c r="H6" s="1253"/>
    </row>
    <row r="7" spans="1:13">
      <c r="A7" s="1251"/>
      <c r="B7" s="1256"/>
      <c r="C7" s="1257"/>
      <c r="D7" s="1257"/>
      <c r="E7" s="1257"/>
      <c r="F7" s="1257"/>
      <c r="G7" s="1257"/>
      <c r="H7" s="1257"/>
    </row>
    <row r="8" spans="1:13">
      <c r="A8" s="1251"/>
      <c r="B8" s="1908"/>
      <c r="C8" s="1909"/>
      <c r="D8" s="1252"/>
      <c r="E8" s="1258"/>
      <c r="F8" s="1258"/>
      <c r="G8" s="1258"/>
      <c r="H8" s="1259"/>
    </row>
    <row r="9" spans="1:13" ht="18" customHeight="1">
      <c r="B9" s="1260">
        <v>1</v>
      </c>
      <c r="C9" s="1910" t="s">
        <v>1917</v>
      </c>
      <c r="D9" s="1910"/>
      <c r="E9" s="1910"/>
      <c r="F9" s="1261" t="str">
        <f>IF(J9="○：ICT活用工事",IF(AND(G9="",G10=""),"※",""),IF(OR(G9&lt;&gt;"",G10&lt;&gt;""),"E",""))</f>
        <v/>
      </c>
      <c r="G9" s="1262"/>
      <c r="H9" s="1263" t="str">
        <f>IF(AND(J9="ICT活用工事以外",F9="E"),"←一般事項シートにおいて「ICT活用工事」が「ICT活用工事以外」となっています。","")</f>
        <v/>
      </c>
      <c r="J9" s="1264">
        <f>一般事項!F54</f>
        <v>0</v>
      </c>
    </row>
    <row r="10" spans="1:13" ht="18" customHeight="1">
      <c r="A10" s="1265"/>
      <c r="B10" s="1266"/>
      <c r="C10" s="1267"/>
      <c r="D10" s="1268"/>
      <c r="E10" s="1269" t="s">
        <v>1918</v>
      </c>
      <c r="F10" s="1270" t="str">
        <f>IF(AND(G9="その他",G10=""),"※",IF(AND(G9&lt;&gt;"その他",G10&lt;&gt;""),"E",""))</f>
        <v/>
      </c>
      <c r="G10" s="1271"/>
      <c r="H10" s="1272"/>
      <c r="I10" s="1273"/>
      <c r="J10" s="1274"/>
      <c r="K10" s="1273"/>
    </row>
    <row r="11" spans="1:13" ht="18" customHeight="1">
      <c r="A11" s="1273"/>
      <c r="B11" s="1275"/>
      <c r="C11" s="1276"/>
      <c r="D11" s="1276"/>
      <c r="E11" s="1276"/>
      <c r="F11" s="1277"/>
      <c r="G11" s="1252"/>
      <c r="H11" s="1257"/>
      <c r="I11" s="1278"/>
      <c r="J11" s="1273"/>
    </row>
    <row r="12" spans="1:13" ht="18" customHeight="1">
      <c r="A12" s="1279"/>
      <c r="B12" s="1260">
        <v>2</v>
      </c>
      <c r="C12" s="1911" t="s">
        <v>1919</v>
      </c>
      <c r="D12" s="1911"/>
      <c r="E12" s="1280"/>
      <c r="F12" s="1912" t="str">
        <f>IF(J9="○：ICT活用工事",IF(AND(G12="",G19=""),"※",""),IF(OR(G12&lt;&gt;"",G19&lt;&gt;""),"E",""))</f>
        <v/>
      </c>
      <c r="G12" s="1281"/>
      <c r="H12" s="1272"/>
      <c r="I12" s="1282"/>
      <c r="J12" s="1283"/>
      <c r="L12" s="1250"/>
      <c r="M12" s="1250"/>
    </row>
    <row r="13" spans="1:13" ht="18" customHeight="1">
      <c r="A13" s="1279"/>
      <c r="B13" s="1619"/>
      <c r="C13" s="1620"/>
      <c r="D13" s="1620"/>
      <c r="E13" s="1621"/>
      <c r="F13" s="1913"/>
      <c r="G13" s="1622"/>
      <c r="H13" s="1272"/>
      <c r="I13" s="1282"/>
      <c r="J13" s="1283"/>
      <c r="L13" s="1250"/>
      <c r="M13" s="1250"/>
    </row>
    <row r="14" spans="1:13" ht="18" customHeight="1">
      <c r="A14" s="1279"/>
      <c r="B14" s="1619"/>
      <c r="C14" s="1620"/>
      <c r="D14" s="1620"/>
      <c r="E14" s="1621"/>
      <c r="F14" s="1913"/>
      <c r="G14" s="1622"/>
      <c r="H14" s="1272"/>
      <c r="I14" s="1282"/>
      <c r="J14" s="1283"/>
      <c r="L14" s="1250"/>
      <c r="M14" s="1250"/>
    </row>
    <row r="15" spans="1:13" ht="18" customHeight="1">
      <c r="A15" s="1279"/>
      <c r="B15" s="1619"/>
      <c r="C15" s="1620"/>
      <c r="D15" s="1620"/>
      <c r="E15" s="1621"/>
      <c r="F15" s="1913"/>
      <c r="G15" s="1622"/>
      <c r="H15" s="1272"/>
      <c r="I15" s="1282"/>
      <c r="J15" s="1283"/>
      <c r="L15" s="1250"/>
      <c r="M15" s="1250"/>
    </row>
    <row r="16" spans="1:13" ht="18" customHeight="1">
      <c r="A16" s="1279"/>
      <c r="B16" s="1619"/>
      <c r="C16" s="1620"/>
      <c r="D16" s="1620"/>
      <c r="E16" s="1621"/>
      <c r="F16" s="1913"/>
      <c r="G16" s="1622"/>
      <c r="H16" s="1272"/>
      <c r="I16" s="1282"/>
      <c r="J16" s="1283"/>
      <c r="L16" s="1250"/>
      <c r="M16" s="1250"/>
    </row>
    <row r="17" spans="1:13" ht="18" customHeight="1">
      <c r="A17" s="1279"/>
      <c r="B17" s="1619"/>
      <c r="C17" s="1620"/>
      <c r="D17" s="1620"/>
      <c r="E17" s="1621"/>
      <c r="F17" s="1913"/>
      <c r="G17" s="1622"/>
      <c r="H17" s="1272"/>
      <c r="I17" s="1282"/>
      <c r="J17" s="1283"/>
      <c r="L17" s="1250"/>
      <c r="M17" s="1250"/>
    </row>
    <row r="18" spans="1:13" ht="18" customHeight="1">
      <c r="A18" s="1279"/>
      <c r="B18" s="1619"/>
      <c r="C18" s="1620"/>
      <c r="D18" s="1620"/>
      <c r="E18" s="1621"/>
      <c r="F18" s="1914"/>
      <c r="G18" s="1622"/>
      <c r="H18" s="1272"/>
      <c r="I18" s="1282"/>
      <c r="J18" s="1283"/>
      <c r="L18" s="1250"/>
      <c r="M18" s="1250"/>
    </row>
    <row r="19" spans="1:13" ht="18" customHeight="1">
      <c r="A19" s="1279"/>
      <c r="B19" s="1266"/>
      <c r="C19" s="1284"/>
      <c r="D19" s="1285"/>
      <c r="E19" s="1269" t="s">
        <v>1918</v>
      </c>
      <c r="F19" s="1270" t="str">
        <f>IF(AND(J19=FALSE,G19=""),"※",IF(AND(J19=TRUE,G19&lt;&gt;""),"E",""))</f>
        <v/>
      </c>
      <c r="G19" s="1271"/>
      <c r="H19" s="1272"/>
      <c r="I19" s="1282"/>
      <c r="J19" s="1283" t="b">
        <f>ISERROR(FIND("その他",G12))</f>
        <v>1</v>
      </c>
      <c r="L19" s="1250"/>
      <c r="M19" s="1250"/>
    </row>
    <row r="20" spans="1:13" ht="18" customHeight="1">
      <c r="A20" s="1279"/>
      <c r="B20" s="1286"/>
      <c r="C20" s="1287"/>
      <c r="D20" s="1287"/>
      <c r="E20" s="1288"/>
      <c r="F20" s="1289"/>
      <c r="G20" s="1252"/>
      <c r="H20" s="1257"/>
      <c r="I20" s="1290"/>
      <c r="J20" s="1283"/>
      <c r="L20" s="1250"/>
      <c r="M20" s="1250"/>
    </row>
    <row r="21" spans="1:13" ht="18" customHeight="1">
      <c r="A21" s="1279"/>
      <c r="B21" s="1291">
        <v>3</v>
      </c>
      <c r="C21" s="1292" t="s">
        <v>1920</v>
      </c>
      <c r="D21" s="1293" t="s">
        <v>1921</v>
      </c>
      <c r="E21" s="1294" t="s">
        <v>5403</v>
      </c>
      <c r="F21" s="1295"/>
      <c r="G21" s="1296"/>
      <c r="H21" s="1272" t="s">
        <v>1922</v>
      </c>
      <c r="I21" s="1290"/>
      <c r="J21" s="1283"/>
      <c r="L21" s="1250"/>
      <c r="M21" s="1250"/>
    </row>
    <row r="22" spans="1:13" ht="18" customHeight="1">
      <c r="A22" s="1279"/>
      <c r="B22" s="1291"/>
      <c r="C22" s="1292"/>
      <c r="D22" s="1293"/>
      <c r="E22" s="1294" t="s">
        <v>5340</v>
      </c>
      <c r="F22" s="1295"/>
      <c r="G22" s="1297"/>
      <c r="H22" s="1272" t="s">
        <v>1922</v>
      </c>
      <c r="I22" s="1290"/>
      <c r="J22" s="1283"/>
      <c r="L22" s="1250"/>
      <c r="M22" s="1250"/>
    </row>
    <row r="23" spans="1:13" ht="18" customHeight="1">
      <c r="B23" s="1291"/>
      <c r="C23" s="1292"/>
      <c r="D23" s="1293"/>
      <c r="E23" s="1298" t="s">
        <v>5341</v>
      </c>
      <c r="F23" s="1299"/>
      <c r="G23" s="1300"/>
      <c r="H23" s="1272" t="s">
        <v>1922</v>
      </c>
      <c r="I23" s="1301"/>
      <c r="L23" s="1250"/>
      <c r="M23" s="1250"/>
    </row>
    <row r="24" spans="1:13" ht="18" customHeight="1">
      <c r="B24" s="1291"/>
      <c r="C24" s="1292"/>
      <c r="D24" s="1293"/>
      <c r="E24" s="1298" t="s">
        <v>5342</v>
      </c>
      <c r="F24" s="1299"/>
      <c r="G24" s="1300"/>
      <c r="H24" s="1272" t="s">
        <v>1922</v>
      </c>
      <c r="I24" s="1302"/>
      <c r="J24" s="1303"/>
      <c r="L24" s="1250"/>
      <c r="M24" s="1250"/>
    </row>
    <row r="25" spans="1:13" ht="18" hidden="1" customHeight="1">
      <c r="B25" s="1291"/>
      <c r="C25" s="1292"/>
      <c r="D25" s="1293"/>
      <c r="E25" s="1298" t="s">
        <v>5343</v>
      </c>
      <c r="F25" s="1299"/>
      <c r="G25" s="1300"/>
      <c r="H25" s="1272" t="s">
        <v>1922</v>
      </c>
      <c r="I25" s="1304"/>
      <c r="L25" s="1250"/>
      <c r="M25" s="1250"/>
    </row>
    <row r="26" spans="1:13" ht="18" customHeight="1">
      <c r="B26" s="1291"/>
      <c r="C26" s="1292"/>
      <c r="D26" s="1293"/>
      <c r="E26" s="1298" t="s">
        <v>5344</v>
      </c>
      <c r="F26" s="1299"/>
      <c r="G26" s="1300"/>
      <c r="H26" s="1272" t="s">
        <v>1922</v>
      </c>
      <c r="I26" s="1304"/>
      <c r="L26" s="1250"/>
      <c r="M26" s="1250"/>
    </row>
    <row r="27" spans="1:13" ht="18" customHeight="1">
      <c r="B27" s="1291"/>
      <c r="C27" s="1292"/>
      <c r="D27" s="1293"/>
      <c r="E27" s="1298" t="s">
        <v>5345</v>
      </c>
      <c r="F27" s="1299"/>
      <c r="G27" s="1300"/>
      <c r="H27" s="1272" t="s">
        <v>1922</v>
      </c>
      <c r="I27" s="1302"/>
      <c r="J27" s="1303"/>
      <c r="L27" s="1250"/>
      <c r="M27" s="1250"/>
    </row>
    <row r="28" spans="1:13" ht="18" customHeight="1">
      <c r="B28" s="1291"/>
      <c r="C28" s="1292"/>
      <c r="D28" s="1293"/>
      <c r="E28" s="1298" t="s">
        <v>5346</v>
      </c>
      <c r="F28" s="1299"/>
      <c r="G28" s="1300"/>
      <c r="H28" s="1272" t="s">
        <v>1922</v>
      </c>
      <c r="I28" s="1304"/>
      <c r="L28" s="1250"/>
      <c r="M28" s="1250"/>
    </row>
    <row r="29" spans="1:13" ht="18" customHeight="1">
      <c r="B29" s="1291"/>
      <c r="C29" s="1292"/>
      <c r="D29" s="1293"/>
      <c r="E29" s="1298" t="s">
        <v>5347</v>
      </c>
      <c r="F29" s="1299"/>
      <c r="G29" s="1300"/>
      <c r="H29" s="1272" t="s">
        <v>1922</v>
      </c>
      <c r="I29" s="1304"/>
      <c r="L29" s="1250"/>
      <c r="M29" s="1250"/>
    </row>
    <row r="30" spans="1:13" s="1675" customFormat="1" ht="18" hidden="1" customHeight="1">
      <c r="B30" s="1676"/>
      <c r="C30" s="1677"/>
      <c r="D30" s="1678"/>
      <c r="E30" s="1679"/>
      <c r="F30" s="1680"/>
      <c r="G30" s="1681"/>
      <c r="H30" s="1682"/>
      <c r="I30" s="1683"/>
      <c r="J30" s="1684"/>
      <c r="K30" s="1684"/>
    </row>
    <row r="31" spans="1:13" ht="18" customHeight="1">
      <c r="B31" s="1291"/>
      <c r="C31" s="1292"/>
      <c r="D31" s="1293"/>
      <c r="E31" s="1298" t="s">
        <v>5334</v>
      </c>
      <c r="F31" s="1299"/>
      <c r="G31" s="1300"/>
      <c r="H31" s="1272" t="s">
        <v>1922</v>
      </c>
      <c r="I31" s="1304"/>
      <c r="L31" s="1250"/>
      <c r="M31" s="1250"/>
    </row>
    <row r="32" spans="1:13" ht="18" customHeight="1">
      <c r="B32" s="1291"/>
      <c r="C32" s="1292"/>
      <c r="D32" s="1293"/>
      <c r="E32" s="1298" t="s">
        <v>5335</v>
      </c>
      <c r="F32" s="1299"/>
      <c r="G32" s="1300"/>
      <c r="H32" s="1272" t="s">
        <v>1922</v>
      </c>
      <c r="I32" s="1304"/>
      <c r="L32" s="1250"/>
      <c r="M32" s="1250"/>
    </row>
    <row r="33" spans="2:13" ht="18" customHeight="1">
      <c r="B33" s="1291"/>
      <c r="C33" s="1292"/>
      <c r="D33" s="1293"/>
      <c r="E33" s="1298" t="s">
        <v>5336</v>
      </c>
      <c r="F33" s="1299"/>
      <c r="G33" s="1300"/>
      <c r="H33" s="1272" t="s">
        <v>1922</v>
      </c>
      <c r="I33" s="1304"/>
      <c r="L33" s="1250"/>
      <c r="M33" s="1250"/>
    </row>
    <row r="34" spans="2:13" ht="18" customHeight="1">
      <c r="B34" s="1291"/>
      <c r="C34" s="1292"/>
      <c r="D34" s="1293"/>
      <c r="E34" s="1298" t="s">
        <v>5337</v>
      </c>
      <c r="F34" s="1299"/>
      <c r="G34" s="1300"/>
      <c r="H34" s="1272" t="s">
        <v>1922</v>
      </c>
      <c r="I34" s="1304"/>
      <c r="L34" s="1250"/>
      <c r="M34" s="1250"/>
    </row>
    <row r="35" spans="2:13" ht="18" customHeight="1">
      <c r="B35" s="1291"/>
      <c r="C35" s="1292"/>
      <c r="D35" s="1293"/>
      <c r="E35" s="1298" t="s">
        <v>5338</v>
      </c>
      <c r="F35" s="1299"/>
      <c r="G35" s="1300"/>
      <c r="H35" s="1272" t="s">
        <v>1922</v>
      </c>
      <c r="I35" s="1302"/>
      <c r="J35" s="1303"/>
      <c r="L35" s="1250"/>
      <c r="M35" s="1250"/>
    </row>
    <row r="36" spans="2:13" ht="18" customHeight="1">
      <c r="B36" s="1291"/>
      <c r="C36" s="1292"/>
      <c r="D36" s="1293"/>
      <c r="E36" s="1298" t="s">
        <v>5339</v>
      </c>
      <c r="F36" s="1299"/>
      <c r="G36" s="1300"/>
      <c r="H36" s="1272" t="s">
        <v>1922</v>
      </c>
      <c r="I36" s="1304"/>
      <c r="L36" s="1250"/>
      <c r="M36" s="1250"/>
    </row>
    <row r="37" spans="2:13" ht="18" customHeight="1">
      <c r="B37" s="1291"/>
      <c r="C37" s="1292"/>
      <c r="D37" s="1305" t="s">
        <v>1923</v>
      </c>
      <c r="E37" s="1306"/>
      <c r="F37" s="1299"/>
      <c r="G37" s="1300"/>
      <c r="H37" s="1272" t="s">
        <v>1922</v>
      </c>
      <c r="I37" s="1307"/>
      <c r="L37" s="1250"/>
      <c r="M37" s="1250"/>
    </row>
    <row r="38" spans="2:13" ht="18" customHeight="1">
      <c r="B38" s="1291"/>
      <c r="C38" s="1292"/>
      <c r="D38" s="1305" t="s">
        <v>1923</v>
      </c>
      <c r="E38" s="1306"/>
      <c r="F38" s="1299"/>
      <c r="G38" s="1300"/>
      <c r="H38" s="1272" t="s">
        <v>1922</v>
      </c>
      <c r="I38" s="1307"/>
      <c r="L38" s="1250"/>
      <c r="M38" s="1250"/>
    </row>
    <row r="39" spans="2:13" ht="18" customHeight="1">
      <c r="B39" s="1291"/>
      <c r="C39" s="1292"/>
      <c r="D39" s="1305" t="s">
        <v>1923</v>
      </c>
      <c r="E39" s="1306"/>
      <c r="F39" s="1299"/>
      <c r="G39" s="1300"/>
      <c r="H39" s="1272" t="s">
        <v>1922</v>
      </c>
      <c r="L39" s="1250"/>
    </row>
    <row r="40" spans="2:13" ht="18" customHeight="1">
      <c r="B40" s="1291"/>
      <c r="C40" s="1292"/>
      <c r="D40" s="1305" t="s">
        <v>1923</v>
      </c>
      <c r="E40" s="1306"/>
      <c r="F40" s="1299"/>
      <c r="G40" s="1300"/>
      <c r="H40" s="1272" t="s">
        <v>1922</v>
      </c>
      <c r="L40" s="1250"/>
    </row>
    <row r="41" spans="2:13" ht="18" customHeight="1">
      <c r="B41" s="1291"/>
      <c r="C41" s="1292"/>
      <c r="D41" s="1305" t="s">
        <v>1923</v>
      </c>
      <c r="E41" s="1306"/>
      <c r="F41" s="1308"/>
      <c r="G41" s="1300"/>
      <c r="H41" s="1272" t="s">
        <v>1922</v>
      </c>
    </row>
    <row r="42" spans="2:13" ht="18" customHeight="1">
      <c r="B42" s="1291"/>
      <c r="C42" s="1292"/>
      <c r="D42" s="1305"/>
      <c r="E42" s="1309" t="s">
        <v>1924</v>
      </c>
      <c r="F42" s="1310"/>
      <c r="G42" s="1311">
        <f>SUM(G21:G41)</f>
        <v>0</v>
      </c>
      <c r="H42" s="1272" t="s">
        <v>1922</v>
      </c>
    </row>
    <row r="43" spans="2:13" ht="18" customHeight="1">
      <c r="B43" s="1291"/>
      <c r="C43" s="1292"/>
      <c r="D43" s="1312" t="s">
        <v>1925</v>
      </c>
      <c r="E43" s="1313" t="s">
        <v>5404</v>
      </c>
      <c r="F43" s="1314"/>
      <c r="G43" s="1297"/>
      <c r="H43" s="1272" t="s">
        <v>1922</v>
      </c>
    </row>
    <row r="44" spans="2:13" ht="18" customHeight="1">
      <c r="B44" s="1291"/>
      <c r="C44" s="1292"/>
      <c r="D44" s="1293"/>
      <c r="E44" s="1298" t="s">
        <v>5348</v>
      </c>
      <c r="F44" s="1299"/>
      <c r="G44" s="1300"/>
      <c r="H44" s="1272" t="s">
        <v>1922</v>
      </c>
    </row>
    <row r="45" spans="2:13" ht="18" customHeight="1">
      <c r="B45" s="1291"/>
      <c r="C45" s="1292"/>
      <c r="D45" s="1293"/>
      <c r="E45" s="1298" t="s">
        <v>5349</v>
      </c>
      <c r="F45" s="1299"/>
      <c r="G45" s="1300"/>
      <c r="H45" s="1272" t="s">
        <v>1922</v>
      </c>
    </row>
    <row r="46" spans="2:13" ht="18" customHeight="1">
      <c r="B46" s="1291"/>
      <c r="C46" s="1292"/>
      <c r="D46" s="1293"/>
      <c r="E46" s="1298" t="s">
        <v>5350</v>
      </c>
      <c r="F46" s="1299"/>
      <c r="G46" s="1300"/>
      <c r="H46" s="1272" t="s">
        <v>1922</v>
      </c>
    </row>
    <row r="47" spans="2:13" ht="18" hidden="1" customHeight="1">
      <c r="B47" s="1291"/>
      <c r="C47" s="1292"/>
      <c r="D47" s="1293"/>
      <c r="E47" s="1298" t="s">
        <v>5351</v>
      </c>
      <c r="F47" s="1299"/>
      <c r="G47" s="1300"/>
      <c r="H47" s="1272" t="s">
        <v>1922</v>
      </c>
    </row>
    <row r="48" spans="2:13" ht="18" customHeight="1">
      <c r="B48" s="1291"/>
      <c r="C48" s="1292"/>
      <c r="D48" s="1293"/>
      <c r="E48" s="1298" t="s">
        <v>5352</v>
      </c>
      <c r="F48" s="1299"/>
      <c r="G48" s="1300"/>
      <c r="H48" s="1272" t="s">
        <v>1922</v>
      </c>
    </row>
    <row r="49" spans="2:8" ht="18" customHeight="1">
      <c r="B49" s="1291"/>
      <c r="C49" s="1292"/>
      <c r="D49" s="1293"/>
      <c r="E49" s="1298" t="s">
        <v>5353</v>
      </c>
      <c r="F49" s="1299"/>
      <c r="G49" s="1300"/>
      <c r="H49" s="1272" t="s">
        <v>1922</v>
      </c>
    </row>
    <row r="50" spans="2:8" ht="18" customHeight="1">
      <c r="B50" s="1291"/>
      <c r="C50" s="1292"/>
      <c r="D50" s="1293"/>
      <c r="E50" s="1298" t="s">
        <v>5354</v>
      </c>
      <c r="F50" s="1299"/>
      <c r="G50" s="1300"/>
      <c r="H50" s="1272" t="s">
        <v>1922</v>
      </c>
    </row>
    <row r="51" spans="2:8" ht="18" customHeight="1">
      <c r="B51" s="1291"/>
      <c r="C51" s="1292"/>
      <c r="D51" s="1293"/>
      <c r="E51" s="1298" t="s">
        <v>5355</v>
      </c>
      <c r="F51" s="1299"/>
      <c r="G51" s="1300"/>
      <c r="H51" s="1272" t="s">
        <v>1922</v>
      </c>
    </row>
    <row r="52" spans="2:8" ht="18" hidden="1" customHeight="1">
      <c r="B52" s="1291"/>
      <c r="C52" s="1292"/>
      <c r="D52" s="1293"/>
      <c r="E52" s="1298" t="s">
        <v>5356</v>
      </c>
      <c r="F52" s="1299"/>
      <c r="G52" s="1300"/>
      <c r="H52" s="1272" t="s">
        <v>1922</v>
      </c>
    </row>
    <row r="53" spans="2:8" ht="18" customHeight="1">
      <c r="B53" s="1291"/>
      <c r="C53" s="1292"/>
      <c r="D53" s="1293"/>
      <c r="E53" s="1298" t="s">
        <v>5357</v>
      </c>
      <c r="F53" s="1299"/>
      <c r="G53" s="1300"/>
      <c r="H53" s="1272" t="s">
        <v>1922</v>
      </c>
    </row>
    <row r="54" spans="2:8" ht="18" customHeight="1">
      <c r="B54" s="1291"/>
      <c r="C54" s="1292"/>
      <c r="D54" s="1293"/>
      <c r="E54" s="1298" t="s">
        <v>5358</v>
      </c>
      <c r="F54" s="1299"/>
      <c r="G54" s="1300"/>
      <c r="H54" s="1272" t="s">
        <v>1922</v>
      </c>
    </row>
    <row r="55" spans="2:8" ht="18" customHeight="1">
      <c r="B55" s="1291"/>
      <c r="C55" s="1292"/>
      <c r="D55" s="1293"/>
      <c r="E55" s="1298" t="s">
        <v>5359</v>
      </c>
      <c r="F55" s="1299"/>
      <c r="G55" s="1300"/>
      <c r="H55" s="1272" t="s">
        <v>1922</v>
      </c>
    </row>
    <row r="56" spans="2:8" ht="18" customHeight="1">
      <c r="B56" s="1291"/>
      <c r="C56" s="1292"/>
      <c r="D56" s="1293"/>
      <c r="E56" s="1298" t="s">
        <v>5360</v>
      </c>
      <c r="F56" s="1299"/>
      <c r="G56" s="1300"/>
      <c r="H56" s="1272" t="s">
        <v>1922</v>
      </c>
    </row>
    <row r="57" spans="2:8" ht="18" customHeight="1">
      <c r="B57" s="1291"/>
      <c r="C57" s="1292"/>
      <c r="D57" s="1293"/>
      <c r="E57" s="1298" t="s">
        <v>5361</v>
      </c>
      <c r="F57" s="1299"/>
      <c r="G57" s="1300"/>
      <c r="H57" s="1272" t="s">
        <v>1922</v>
      </c>
    </row>
    <row r="58" spans="2:8" ht="18" customHeight="1">
      <c r="B58" s="1291"/>
      <c r="C58" s="1292"/>
      <c r="D58" s="1293"/>
      <c r="E58" s="1298" t="s">
        <v>5362</v>
      </c>
      <c r="F58" s="1299"/>
      <c r="G58" s="1300"/>
      <c r="H58" s="1272" t="s">
        <v>1922</v>
      </c>
    </row>
    <row r="59" spans="2:8" ht="18" customHeight="1">
      <c r="B59" s="1291"/>
      <c r="C59" s="1292"/>
      <c r="D59" s="1293"/>
      <c r="E59" s="1298" t="s">
        <v>5363</v>
      </c>
      <c r="F59" s="1299"/>
      <c r="G59" s="1300"/>
      <c r="H59" s="1272" t="s">
        <v>1922</v>
      </c>
    </row>
    <row r="60" spans="2:8" ht="18" customHeight="1">
      <c r="B60" s="1291"/>
      <c r="C60" s="1292"/>
      <c r="D60" s="1293"/>
      <c r="E60" s="1298" t="s">
        <v>5364</v>
      </c>
      <c r="F60" s="1299"/>
      <c r="G60" s="1300"/>
      <c r="H60" s="1272" t="s">
        <v>1922</v>
      </c>
    </row>
    <row r="61" spans="2:8" ht="18" customHeight="1">
      <c r="B61" s="1291"/>
      <c r="C61" s="1292"/>
      <c r="D61" s="1293"/>
      <c r="E61" s="1298" t="s">
        <v>5365</v>
      </c>
      <c r="F61" s="1299"/>
      <c r="G61" s="1300"/>
      <c r="H61" s="1272" t="s">
        <v>1922</v>
      </c>
    </row>
    <row r="62" spans="2:8" ht="18" hidden="1" customHeight="1">
      <c r="B62" s="1291"/>
      <c r="C62" s="1292"/>
      <c r="D62" s="1293"/>
      <c r="E62" s="1298" t="s">
        <v>5366</v>
      </c>
      <c r="F62" s="1299"/>
      <c r="G62" s="1300"/>
      <c r="H62" s="1272" t="s">
        <v>1922</v>
      </c>
    </row>
    <row r="63" spans="2:8" ht="18" customHeight="1">
      <c r="B63" s="1291"/>
      <c r="C63" s="1292"/>
      <c r="D63" s="1293"/>
      <c r="E63" s="1298" t="s">
        <v>5367</v>
      </c>
      <c r="F63" s="1299"/>
      <c r="G63" s="1300"/>
      <c r="H63" s="1272" t="s">
        <v>1922</v>
      </c>
    </row>
    <row r="64" spans="2:8" ht="18" customHeight="1">
      <c r="B64" s="1291"/>
      <c r="C64" s="1292"/>
      <c r="D64" s="1293"/>
      <c r="E64" s="1298" t="s">
        <v>5368</v>
      </c>
      <c r="F64" s="1299"/>
      <c r="G64" s="1300"/>
      <c r="H64" s="1272" t="s">
        <v>1922</v>
      </c>
    </row>
    <row r="65" spans="2:8" ht="18" customHeight="1">
      <c r="B65" s="1291"/>
      <c r="C65" s="1292"/>
      <c r="D65" s="1293"/>
      <c r="E65" s="1298" t="s">
        <v>5369</v>
      </c>
      <c r="F65" s="1299"/>
      <c r="G65" s="1300"/>
      <c r="H65" s="1272" t="s">
        <v>1922</v>
      </c>
    </row>
    <row r="66" spans="2:8" ht="18" customHeight="1">
      <c r="B66" s="1291"/>
      <c r="C66" s="1292"/>
      <c r="D66" s="1293"/>
      <c r="E66" s="1298" t="s">
        <v>5370</v>
      </c>
      <c r="F66" s="1299"/>
      <c r="G66" s="1300"/>
      <c r="H66" s="1272" t="s">
        <v>1922</v>
      </c>
    </row>
    <row r="67" spans="2:8" ht="18" customHeight="1">
      <c r="B67" s="1291"/>
      <c r="C67" s="1292"/>
      <c r="D67" s="1293"/>
      <c r="E67" s="1298" t="s">
        <v>5371</v>
      </c>
      <c r="F67" s="1299"/>
      <c r="G67" s="1300"/>
      <c r="H67" s="1272" t="s">
        <v>1922</v>
      </c>
    </row>
    <row r="68" spans="2:8" ht="18" customHeight="1">
      <c r="B68" s="1291"/>
      <c r="C68" s="1292"/>
      <c r="D68" s="1305" t="s">
        <v>1923</v>
      </c>
      <c r="E68" s="1306"/>
      <c r="F68" s="1299"/>
      <c r="G68" s="1300"/>
      <c r="H68" s="1272" t="s">
        <v>1922</v>
      </c>
    </row>
    <row r="69" spans="2:8" ht="18" customHeight="1">
      <c r="B69" s="1291"/>
      <c r="C69" s="1292"/>
      <c r="D69" s="1305" t="s">
        <v>1923</v>
      </c>
      <c r="E69" s="1306"/>
      <c r="F69" s="1299"/>
      <c r="G69" s="1300"/>
      <c r="H69" s="1272" t="s">
        <v>1922</v>
      </c>
    </row>
    <row r="70" spans="2:8" ht="18" customHeight="1">
      <c r="B70" s="1291"/>
      <c r="C70" s="1292"/>
      <c r="D70" s="1305" t="s">
        <v>1923</v>
      </c>
      <c r="E70" s="1306"/>
      <c r="F70" s="1299"/>
      <c r="G70" s="1300"/>
      <c r="H70" s="1272" t="s">
        <v>1922</v>
      </c>
    </row>
    <row r="71" spans="2:8" ht="18" customHeight="1">
      <c r="B71" s="1291"/>
      <c r="C71" s="1292"/>
      <c r="D71" s="1305" t="s">
        <v>1923</v>
      </c>
      <c r="E71" s="1306"/>
      <c r="F71" s="1299"/>
      <c r="G71" s="1300"/>
      <c r="H71" s="1272" t="s">
        <v>1922</v>
      </c>
    </row>
    <row r="72" spans="2:8" ht="18" customHeight="1">
      <c r="B72" s="1291"/>
      <c r="C72" s="1292"/>
      <c r="D72" s="1305" t="s">
        <v>1923</v>
      </c>
      <c r="E72" s="1306"/>
      <c r="F72" s="1299"/>
      <c r="G72" s="1300"/>
      <c r="H72" s="1272" t="s">
        <v>1922</v>
      </c>
    </row>
    <row r="73" spans="2:8" ht="18" customHeight="1">
      <c r="B73" s="1291"/>
      <c r="C73" s="1292"/>
      <c r="D73" s="1305" t="s">
        <v>1923</v>
      </c>
      <c r="E73" s="1306"/>
      <c r="F73" s="1299"/>
      <c r="G73" s="1300"/>
      <c r="H73" s="1272" t="s">
        <v>1922</v>
      </c>
    </row>
    <row r="74" spans="2:8" ht="18" customHeight="1">
      <c r="B74" s="1291"/>
      <c r="C74" s="1292"/>
      <c r="D74" s="1305" t="s">
        <v>1923</v>
      </c>
      <c r="E74" s="1306"/>
      <c r="F74" s="1308"/>
      <c r="G74" s="1300"/>
      <c r="H74" s="1272" t="s">
        <v>1922</v>
      </c>
    </row>
    <row r="75" spans="2:8" ht="18" customHeight="1">
      <c r="B75" s="1291"/>
      <c r="C75" s="1292"/>
      <c r="D75" s="1315"/>
      <c r="E75" s="1309" t="s">
        <v>1924</v>
      </c>
      <c r="F75" s="1316"/>
      <c r="G75" s="1311">
        <f>SUM(G43:G74)</f>
        <v>0</v>
      </c>
      <c r="H75" s="1272" t="s">
        <v>1922</v>
      </c>
    </row>
    <row r="76" spans="2:8" ht="18" customHeight="1">
      <c r="B76" s="1291"/>
      <c r="C76" s="1317" t="s">
        <v>1926</v>
      </c>
      <c r="D76" s="1318" t="s">
        <v>1927</v>
      </c>
      <c r="E76" s="1319"/>
      <c r="F76" s="1314"/>
      <c r="G76" s="1300"/>
      <c r="H76" s="1272" t="s">
        <v>1922</v>
      </c>
    </row>
    <row r="77" spans="2:8" ht="18" customHeight="1">
      <c r="B77" s="1291"/>
      <c r="C77" s="1292"/>
      <c r="D77" s="1318" t="s">
        <v>1928</v>
      </c>
      <c r="E77" s="1306"/>
      <c r="F77" s="1299"/>
      <c r="G77" s="1300"/>
      <c r="H77" s="1272" t="s">
        <v>1922</v>
      </c>
    </row>
    <row r="78" spans="2:8" ht="18" customHeight="1">
      <c r="B78" s="1291"/>
      <c r="C78" s="1292"/>
      <c r="D78" s="1318" t="s">
        <v>1928</v>
      </c>
      <c r="E78" s="1306"/>
      <c r="F78" s="1299"/>
      <c r="G78" s="1300"/>
      <c r="H78" s="1272" t="s">
        <v>1922</v>
      </c>
    </row>
    <row r="79" spans="2:8" ht="18" customHeight="1">
      <c r="B79" s="1291"/>
      <c r="C79" s="1292"/>
      <c r="D79" s="1318" t="s">
        <v>1928</v>
      </c>
      <c r="E79" s="1306"/>
      <c r="F79" s="1299"/>
      <c r="G79" s="1300"/>
      <c r="H79" s="1272" t="s">
        <v>1922</v>
      </c>
    </row>
    <row r="80" spans="2:8" ht="18" customHeight="1">
      <c r="B80" s="1291"/>
      <c r="C80" s="1292"/>
      <c r="D80" s="1318" t="s">
        <v>1928</v>
      </c>
      <c r="E80" s="1306"/>
      <c r="F80" s="1299"/>
      <c r="G80" s="1300"/>
      <c r="H80" s="1272" t="s">
        <v>1922</v>
      </c>
    </row>
    <row r="81" spans="2:8" ht="18" customHeight="1">
      <c r="B81" s="1291"/>
      <c r="C81" s="1292"/>
      <c r="D81" s="1318" t="s">
        <v>1928</v>
      </c>
      <c r="E81" s="1306"/>
      <c r="F81" s="1299"/>
      <c r="G81" s="1300"/>
      <c r="H81" s="1272" t="s">
        <v>1922</v>
      </c>
    </row>
    <row r="82" spans="2:8" ht="18" customHeight="1">
      <c r="B82" s="1291"/>
      <c r="C82" s="1292"/>
      <c r="D82" s="1318" t="s">
        <v>1928</v>
      </c>
      <c r="E82" s="1306"/>
      <c r="F82" s="1308"/>
      <c r="G82" s="1300"/>
      <c r="H82" s="1272" t="s">
        <v>1922</v>
      </c>
    </row>
    <row r="83" spans="2:8" ht="18" customHeight="1">
      <c r="B83" s="1320"/>
      <c r="C83" s="1321"/>
      <c r="D83" s="1322"/>
      <c r="E83" s="1309" t="s">
        <v>1924</v>
      </c>
      <c r="F83" s="1316"/>
      <c r="G83" s="1311">
        <f>SUM(G76:G82)</f>
        <v>0</v>
      </c>
      <c r="H83" s="1272" t="s">
        <v>1922</v>
      </c>
    </row>
    <row r="84" spans="2:8" ht="18" customHeight="1">
      <c r="B84" s="1256"/>
      <c r="C84" s="1257"/>
      <c r="D84" s="1257"/>
      <c r="E84" s="1257"/>
      <c r="F84" s="1257"/>
      <c r="G84" s="1257"/>
      <c r="H84" s="1257"/>
    </row>
    <row r="85" spans="2:8" ht="18" customHeight="1">
      <c r="B85" s="1256"/>
      <c r="C85" s="1257" t="s">
        <v>1929</v>
      </c>
      <c r="D85" s="1257"/>
      <c r="E85" s="1257"/>
      <c r="F85" s="1257"/>
      <c r="G85" s="1257"/>
      <c r="H85" s="1257"/>
    </row>
    <row r="86" spans="2:8" ht="18" customHeight="1">
      <c r="B86" s="1256"/>
      <c r="C86" s="1257" t="s">
        <v>1930</v>
      </c>
      <c r="D86" s="1257"/>
      <c r="E86" s="1257"/>
      <c r="F86" s="1257"/>
      <c r="G86" s="1257"/>
      <c r="H86" s="1257"/>
    </row>
    <row r="87" spans="2:8" ht="18" customHeight="1">
      <c r="B87" s="1256"/>
      <c r="C87" s="1257"/>
      <c r="D87" s="1257"/>
      <c r="E87" s="1257"/>
      <c r="F87" s="1257"/>
      <c r="G87" s="1257"/>
      <c r="H87" s="1257"/>
    </row>
    <row r="88" spans="2:8" ht="18" customHeight="1">
      <c r="B88" s="1256"/>
      <c r="C88" s="1257"/>
      <c r="D88" s="1257"/>
      <c r="E88" s="1257"/>
      <c r="F88" s="1257"/>
      <c r="G88" s="1257"/>
      <c r="H88" s="1257"/>
    </row>
    <row r="89" spans="2:8" ht="18" customHeight="1">
      <c r="B89" s="1309">
        <v>4</v>
      </c>
      <c r="C89" s="1323" t="s">
        <v>1931</v>
      </c>
      <c r="D89" s="1323"/>
      <c r="E89" s="1323"/>
      <c r="F89" s="1323"/>
      <c r="G89" s="1324" t="str">
        <f>IF(OR(G42=0,工事費!J9=""),"",G42/工事費!J9)</f>
        <v/>
      </c>
      <c r="H89" s="1257"/>
    </row>
  </sheetData>
  <sheetProtection algorithmName="SHA-512" hashValue="MvWBQHZHU0+qfyWDzDmnbXANEE0cDHo0ZYLKzTgAhgnFGTJJv+qbDAnyzSA/0hJryN0BihERmD3SdOMNMu6qQA==" saltValue="IHf55v75mnpmCf9VDCpx0Q==" spinCount="100000" sheet="1" objects="1" scenarios="1"/>
  <mergeCells count="6">
    <mergeCell ref="A3:C3"/>
    <mergeCell ref="D3:G3"/>
    <mergeCell ref="B8:C8"/>
    <mergeCell ref="C9:E9"/>
    <mergeCell ref="C12:D12"/>
    <mergeCell ref="F12:F18"/>
  </mergeCells>
  <phoneticPr fontId="5"/>
  <dataValidations count="4">
    <dataValidation type="whole" allowBlank="1" showInputMessage="1" showErrorMessage="1" sqref="G76:G82 G21:G41 G43:G74" xr:uid="{42FCF1A5-1A6C-42B3-9281-C26D61151CB4}">
      <formula1>0</formula1>
      <formula2>999999</formula2>
    </dataValidation>
    <dataValidation type="custom" allowBlank="1" showInputMessage="1" showErrorMessage="1" sqref="K11:K38" xr:uid="{F19F3083-CC2D-4BF2-A8C5-B90E3467A321}">
      <formula1>TRIM(K11)&lt;&gt;""</formula1>
    </dataValidation>
    <dataValidation type="list" allowBlank="1" showInputMessage="1" showErrorMessage="1" sqref="G9" xr:uid="{CCE40A97-B6E2-4370-9CC3-CAF25B4F6E4A}">
      <formula1>区分</formula1>
    </dataValidation>
    <dataValidation type="list" allowBlank="1" showInputMessage="1" showErrorMessage="1" sqref="G12:G18" xr:uid="{747600AB-FE24-4E8E-9479-2C6786E7DC39}">
      <formula1>ICT種別</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81</vt:i4>
      </vt:variant>
    </vt:vector>
  </HeadingPairs>
  <TitlesOfParts>
    <vt:vector size="99" baseType="lpstr">
      <vt:lpstr>開始画面</vt:lpstr>
      <vt:lpstr>工事情報</vt:lpstr>
      <vt:lpstr>一般事項</vt:lpstr>
      <vt:lpstr>工事費</vt:lpstr>
      <vt:lpstr>工期</vt:lpstr>
      <vt:lpstr>施工環境</vt:lpstr>
      <vt:lpstr>二次製品（航空）</vt:lpstr>
      <vt:lpstr>準備費</vt:lpstr>
      <vt:lpstr>ICT</vt:lpstr>
      <vt:lpstr>感染対策</vt:lpstr>
      <vt:lpstr>確認</vt:lpstr>
      <vt:lpstr>元請調査票データ</vt:lpstr>
      <vt:lpstr>チェック</vt:lpstr>
      <vt:lpstr>要確認一覧表</vt:lpstr>
      <vt:lpstr>修正履歴</vt:lpstr>
      <vt:lpstr>KKS</vt:lpstr>
      <vt:lpstr>Table</vt:lpstr>
      <vt:lpstr>基礎データ</vt:lpstr>
      <vt:lpstr>ICT活用工事</vt:lpstr>
      <vt:lpstr>ICT種別</vt:lpstr>
      <vt:lpstr>ICT!Print_Area</vt:lpstr>
      <vt:lpstr>Table!Print_Area</vt:lpstr>
      <vt:lpstr>チェック!Print_Area</vt:lpstr>
      <vt:lpstr>一般事項!Print_Area</vt:lpstr>
      <vt:lpstr>確認!Print_Area</vt:lpstr>
      <vt:lpstr>感染対策!Print_Area</vt:lpstr>
      <vt:lpstr>工期!Print_Area</vt:lpstr>
      <vt:lpstr>工事情報!Print_Area</vt:lpstr>
      <vt:lpstr>工事費!Print_Area</vt:lpstr>
      <vt:lpstr>施工環境!Print_Area</vt:lpstr>
      <vt:lpstr>準備費!Print_Area</vt:lpstr>
      <vt:lpstr>'二次製品（航空）'!Print_Area</vt:lpstr>
      <vt:lpstr>要確認一覧表!Print_Area</vt:lpstr>
      <vt:lpstr>修正履歴!Print_Titles</vt:lpstr>
      <vt:lpstr>'二次製品（航空）'!Print_Titles</vt:lpstr>
      <vt:lpstr>要確認一覧表!Print_Titles</vt:lpstr>
      <vt:lpstr>Yes_No</vt:lpstr>
      <vt:lpstr>スライドの種類</vt:lpstr>
      <vt:lpstr>スライドの有無</vt:lpstr>
      <vt:lpstr>一般管理費等の前払い金支出割合</vt:lpstr>
      <vt:lpstr>一般競争入札の評価方法</vt:lpstr>
      <vt:lpstr>外注先</vt:lpstr>
      <vt:lpstr>管理区分</vt:lpstr>
      <vt:lpstr>基準書</vt:lpstr>
      <vt:lpstr>技術管理調査項目</vt:lpstr>
      <vt:lpstr>区分</vt:lpstr>
      <vt:lpstr>契約日から着手指定日まで30日以上あった理由</vt:lpstr>
      <vt:lpstr>契約方式【総価契約単価合意方式の場合】</vt:lpstr>
      <vt:lpstr>月</vt:lpstr>
      <vt:lpstr>工事種別</vt:lpstr>
      <vt:lpstr>工事費_有無</vt:lpstr>
      <vt:lpstr>工種</vt:lpstr>
      <vt:lpstr>作業実行者</vt:lpstr>
      <vt:lpstr>作業制約時間</vt:lpstr>
      <vt:lpstr>作業不能の要因</vt:lpstr>
      <vt:lpstr>施工環境</vt:lpstr>
      <vt:lpstr>施工場所コード</vt:lpstr>
      <vt:lpstr>施工地域</vt:lpstr>
      <vt:lpstr>施工地域特性</vt:lpstr>
      <vt:lpstr>施工地域補正_共通仮設</vt:lpstr>
      <vt:lpstr>施工地域補正_現場管理</vt:lpstr>
      <vt:lpstr>施工分散_有無</vt:lpstr>
      <vt:lpstr>施工分散Yes_No</vt:lpstr>
      <vt:lpstr>車線規制方法</vt:lpstr>
      <vt:lpstr>所管名2</vt:lpstr>
      <vt:lpstr>除雪工事補正の有無</vt:lpstr>
      <vt:lpstr>除雪工事補正係数</vt:lpstr>
      <vt:lpstr>情報化施工_区分</vt:lpstr>
      <vt:lpstr>情報化施工_有無</vt:lpstr>
      <vt:lpstr>情報化施工の種別</vt:lpstr>
      <vt:lpstr>情報共有システム_ＡＳＰのみ_使用の有無</vt:lpstr>
      <vt:lpstr>積雪寒冷地補正</vt:lpstr>
      <vt:lpstr>対象工種</vt:lpstr>
      <vt:lpstr>地域特性</vt:lpstr>
      <vt:lpstr>昼夜</vt:lpstr>
      <vt:lpstr>低入札工事</vt:lpstr>
      <vt:lpstr>低入札工事の有無</vt:lpstr>
      <vt:lpstr>難易度</vt:lpstr>
      <vt:lpstr>二次製品</vt:lpstr>
      <vt:lpstr>日</vt:lpstr>
      <vt:lpstr>日々運搬回送</vt:lpstr>
      <vt:lpstr>入札契約方式</vt:lpstr>
      <vt:lpstr>熱中症対策に資する現場管理費の補正の試行による補正</vt:lpstr>
      <vt:lpstr>年</vt:lpstr>
      <vt:lpstr>発注形態</vt:lpstr>
      <vt:lpstr>発注年度</vt:lpstr>
      <vt:lpstr>不明</vt:lpstr>
      <vt:lpstr>復興補正_熊本</vt:lpstr>
      <vt:lpstr>復興補正_広島</vt:lpstr>
      <vt:lpstr>復興補正_東日本</vt:lpstr>
      <vt:lpstr>平成29改定以前_共通仮設</vt:lpstr>
      <vt:lpstr>平成30改定以降_共通仮設</vt:lpstr>
      <vt:lpstr>舗装種別</vt:lpstr>
      <vt:lpstr>補修</vt:lpstr>
      <vt:lpstr>補償方法選択</vt:lpstr>
      <vt:lpstr>有無</vt:lpstr>
      <vt:lpstr>ICT!余裕期間</vt:lpstr>
      <vt:lpstr>余裕期間</vt:lpstr>
      <vt:lpstr>路上箇所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2020-11-03T06:04:33Z</dcterms:created>
  <dcterms:modified xsi:type="dcterms:W3CDTF">2021-03-29T08:46:14Z</dcterms:modified>
</cp:coreProperties>
</file>